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5910" activeTab="6"/>
  </bookViews>
  <sheets>
    <sheet name="งบทดลอง" sheetId="1" r:id="rId1"/>
    <sheet name="หมายเหตุ 1-3" sheetId="2" r:id="rId2"/>
    <sheet name="หมายเหตุ 4" sheetId="3" r:id="rId3"/>
    <sheet name="รายงานรับ-จ่ายเงิน" sheetId="4" r:id="rId4"/>
    <sheet name="หมายเหตุประกอบรับ-จ่าย1" sheetId="5" r:id="rId5"/>
    <sheet name="หมายเหตุประกอบรับ-จ่าย 2-4" sheetId="6" r:id="rId6"/>
    <sheet name="กระดาษทำการกระทบยอด" sheetId="7" r:id="rId7"/>
  </sheets>
  <definedNames/>
  <calcPr fullCalcOnLoad="1"/>
</workbook>
</file>

<file path=xl/sharedStrings.xml><?xml version="1.0" encoding="utf-8"?>
<sst xmlns="http://schemas.openxmlformats.org/spreadsheetml/2006/main" count="1378" uniqueCount="407">
  <si>
    <t>เทศบาลตำบลชุมโค</t>
  </si>
  <si>
    <t xml:space="preserve">    รายจ่ายผลัดส่งใบสำคัญ</t>
  </si>
  <si>
    <t>ค่าเช่าหรือบริการสถานที่</t>
  </si>
  <si>
    <t xml:space="preserve">    ลูกหนี้เงินยืม</t>
  </si>
  <si>
    <t xml:space="preserve">     ลูกหนี้เงินยืม</t>
  </si>
  <si>
    <t>หมวดเงินอุดหนุนทั่วไประบุวัตถุประสงค์/เฉพาะกิจ</t>
  </si>
  <si>
    <t>เบี้ยยังชีพผู้สูงอายุ</t>
  </si>
  <si>
    <t>ลูกหนี้ภาษีบำรุงท้องที่</t>
  </si>
  <si>
    <t>ภาษีหัก ณ ที่จ่าย</t>
  </si>
  <si>
    <t>เงินอุดหนุนทั่วไปสำหรับดำเนินการตามอำนาจหน้าที่และภารกิจถ่ายโอนเลือกทำ</t>
  </si>
  <si>
    <t>ค่าใบอนุญาตเกี่ยวกับการโฆษณาโดยใช้เครื่องขยายเสียง</t>
  </si>
  <si>
    <t>ภาษีป้าย</t>
  </si>
  <si>
    <r>
      <t>ค่าที่ดินและสิ่งก่อสร้าง (ก)</t>
    </r>
    <r>
      <rPr>
        <b/>
        <sz val="16"/>
        <rFont val="EucrosiaUPC"/>
        <family val="1"/>
      </rPr>
      <t xml:space="preserve"> (หมายเหตุ 9)</t>
    </r>
  </si>
  <si>
    <t>เกี่ยวกับการศึกษา</t>
  </si>
  <si>
    <t>โครงการก่อสร้างระบบประปาหมู่บ้าน  แบบผิวดินขนาดใหญ่ บ้านถ้ำเขาพลู  หมู่ที่ 3</t>
  </si>
  <si>
    <t>โครงการปรับปรุงถนนลาดยางแอสฟัลท์ติกคอนกรีต สายน้ำตกทุ่งยอ-ดอนยาง  หมู่ที่ 11</t>
  </si>
  <si>
    <t>โครงการก่อสร้างระบบประปาหมู่บ้าน  แบบผิวดินขนาดกลาง บ้านชุมทรัพย์  หมู่ที่ 12</t>
  </si>
  <si>
    <r>
      <t>เงินเดือนฝ่ายประจำ(ท)</t>
    </r>
    <r>
      <rPr>
        <b/>
        <sz val="16"/>
        <rFont val="EucrosiaUPC"/>
        <family val="1"/>
      </rPr>
      <t xml:space="preserve"> (หมายเหตุ 5)</t>
    </r>
  </si>
  <si>
    <r>
      <t>ค่าตอบแทน(ท)</t>
    </r>
    <r>
      <rPr>
        <b/>
        <sz val="16"/>
        <rFont val="EucrosiaUPC"/>
        <family val="1"/>
      </rPr>
      <t xml:space="preserve"> (หมายเหตุ 6)</t>
    </r>
  </si>
  <si>
    <r>
      <t>ค่าวัสดุ (ท)</t>
    </r>
    <r>
      <rPr>
        <b/>
        <sz val="16"/>
        <rFont val="EucrosiaUPC"/>
        <family val="1"/>
      </rPr>
      <t xml:space="preserve"> (หมายเหตุ 7)</t>
    </r>
  </si>
  <si>
    <r>
      <t>ค่าสาธารณูปโภค (ท)</t>
    </r>
    <r>
      <rPr>
        <b/>
        <sz val="16"/>
        <rFont val="EucrosiaUPC"/>
        <family val="1"/>
      </rPr>
      <t xml:space="preserve"> (หมายเหตุ 8)</t>
    </r>
  </si>
  <si>
    <t>บริหารทั่วไป</t>
  </si>
  <si>
    <t>บริหารงานทั่วไป</t>
  </si>
  <si>
    <t>เคหะและชุมชน</t>
  </si>
  <si>
    <t>บริหารงานคลัง</t>
  </si>
  <si>
    <t>ประกันซอง</t>
  </si>
  <si>
    <t>การศึกษา</t>
  </si>
  <si>
    <t>ระดับก่อนวัยเรียน</t>
  </si>
  <si>
    <t>ค่าธรรมเนียมปิด โปรย ติดตั้งแผ่นประกาศหรือแผ่นปลิวเพื่อการโฆษณา</t>
  </si>
  <si>
    <t>ค่าปรับการผิดสัญญา</t>
  </si>
  <si>
    <t>ค่าปรับอื่นๆ-</t>
  </si>
  <si>
    <t>ค่าใบอนุญาตให้ตั้งตลาดเอกชน</t>
  </si>
  <si>
    <t>ดอกเบี้ย</t>
  </si>
  <si>
    <t>รายได้จากทรัพย์สินอื่น ๆ (ค่ารักษามาตรน้ำ)</t>
  </si>
  <si>
    <t>ภาษีธุรกิจเฉพาะ</t>
  </si>
  <si>
    <t>รหัสบัญชี</t>
  </si>
  <si>
    <t>เครดิต</t>
  </si>
  <si>
    <t>เงินสด</t>
  </si>
  <si>
    <t>รับจริง</t>
  </si>
  <si>
    <t>หมวดภาษีอากร</t>
  </si>
  <si>
    <t>รายได้จัดเก็บเอง</t>
  </si>
  <si>
    <t>ค่าธรรมเนียมใบอนุญาตการพนัน</t>
  </si>
  <si>
    <t>ค่าปรับผู้กระทำผิดกฎหมายข้อบังคับท้องถิ่น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</si>
  <si>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</si>
  <si>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</si>
  <si>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</si>
  <si>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</si>
  <si>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</si>
  <si>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</si>
  <si>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r>
      <t>ปีงบประมาณ</t>
    </r>
    <r>
      <rPr>
        <u val="single"/>
        <sz val="16"/>
        <rFont val="Angsana New"/>
        <family val="1"/>
      </rPr>
      <t xml:space="preserve">  2558 </t>
    </r>
  </si>
  <si>
    <t>ค่าใบอนุญาตอื่น ๆ</t>
  </si>
  <si>
    <t xml:space="preserve">งบทดลอง </t>
  </si>
  <si>
    <t>ค่าใช้จ่าย 5 %</t>
  </si>
  <si>
    <t>รวม</t>
  </si>
  <si>
    <t>เงินอุดหนุนระบุ</t>
  </si>
  <si>
    <t>วัตถุประสงค์/</t>
  </si>
  <si>
    <t>(บาท)</t>
  </si>
  <si>
    <t>ที่เกิดขึ้นจริง</t>
  </si>
  <si>
    <t>เงินประกันสัญญา</t>
  </si>
  <si>
    <t>เงินประกันสังคม</t>
  </si>
  <si>
    <t>เงินฝาก-ออมทรัพย์ ธ.กรุงไทยสาขาปฐมพร 832-0-06299-3</t>
  </si>
  <si>
    <t>เงินฝาก-ประจำ ธกส.สาขาปะทิว  30-498-4-04404-5</t>
  </si>
  <si>
    <t>เงินฝาก-ประจำ ธ.กรุงไทยสาขาปฐมพร 832-2-03221-8</t>
  </si>
  <si>
    <t>เงินฝากเงินทุนส่งเสริมกิจการเทศบาล (กสท.)</t>
  </si>
  <si>
    <t>ลูกหนี้เงินยืม</t>
  </si>
  <si>
    <t>รายจ่ายค้างจ่าย(หมายเหตุ 2 )</t>
  </si>
  <si>
    <t>เงินรับฝาก(หมายเหตุ 3 )</t>
  </si>
  <si>
    <t xml:space="preserve"> </t>
  </si>
  <si>
    <t xml:space="preserve">    เงินสะสม</t>
  </si>
  <si>
    <t xml:space="preserve">    ภาษีอากร</t>
  </si>
  <si>
    <t>หมายเหตุ 1</t>
  </si>
  <si>
    <t>เงินรอคืนจังหวัด</t>
  </si>
  <si>
    <t xml:space="preserve">     เงินสะสม </t>
  </si>
  <si>
    <t>สาธารณสุข</t>
  </si>
  <si>
    <t>และ</t>
  </si>
  <si>
    <t>ค่าปรับสภาพแวดล้อมที่อยู่อาศัยสำหรับผู้พิการ</t>
  </si>
  <si>
    <t>ค่าหุ้นและเงินกู้สหกรณ์ออมทรัพย์กรมส่งเสริมการปกครองท้องถิ่น</t>
  </si>
  <si>
    <r>
      <t xml:space="preserve">โครงการปรับปรุงซ่อมแซมประปาหมู่บ้านที่ตั้งบริเวณ ร.ร.สอนศาสนา </t>
    </r>
    <r>
      <rPr>
        <sz val="14"/>
        <rFont val="EucrosiaUPC"/>
        <family val="1"/>
      </rPr>
      <t>ม.13 บ้านสมบูรณ์สุข</t>
    </r>
  </si>
  <si>
    <t>เจ้าหนี้เงินสะสม</t>
  </si>
  <si>
    <t xml:space="preserve">     ลูกหนี้เงินสะสม</t>
  </si>
  <si>
    <t xml:space="preserve">    เจ้าหนี้เงินสะสม </t>
  </si>
  <si>
    <t>รายได้เบ็ดเตล็ดอื่น ๆ</t>
  </si>
  <si>
    <t>เงินทุนสำรองเงินสะสม</t>
  </si>
  <si>
    <t>ภาษีโรงเรือนและที่ดิน</t>
  </si>
  <si>
    <t>ภาษีบำรุงท้องที่</t>
  </si>
  <si>
    <t>รายได้จากรัฐบาลค้างรับ(หมายเหตุ 1)</t>
  </si>
  <si>
    <t>โครงการปรับปรุงซ่อมแซมประปาหมู่บ้านที่ตั้งบริเวณโรงเรียนสอนศาสนา หมู่ที่ 13</t>
  </si>
  <si>
    <t>บ้านสมบูรณ์สุข</t>
  </si>
  <si>
    <t>ค่าหุ้นและเงินกู้สหกรณ์ออมทรัพย์พนักงานเทศบาล</t>
  </si>
  <si>
    <t>เงินฝาก-ออมทรัพย์ ธ.กรุงไทยสาขาปฐมพร 832-0-38197-5</t>
  </si>
  <si>
    <t>โครงการส่งเสริมการมีส่วนร่วมของชุมชนในการคัดแยกขยะที่ต้นทาง</t>
  </si>
  <si>
    <t>ค่าหุ้นและเงินกู้สหกรณ์ออมทรัพย์ครูชุมพร</t>
  </si>
  <si>
    <t xml:space="preserve">    เงินอุดหนุนเฉพาะกิจ</t>
  </si>
  <si>
    <t>ยอดยกไป</t>
  </si>
  <si>
    <t>ประมาณการ</t>
  </si>
  <si>
    <t>เกิดขึ้นจริง</t>
  </si>
  <si>
    <t>หมวดเงินอุดหนุนทั่วไป</t>
  </si>
  <si>
    <t>ลูกหนี้เงินสะสม</t>
  </si>
  <si>
    <t>(นางพัชรี  ช่วยดำรงค์)               (นายประจวบ  มิตร์วงษา)                      (นายชลิต  ชุมเกษียร)</t>
  </si>
  <si>
    <t>ค่าตอบแทน</t>
  </si>
  <si>
    <t>ค่าใช้สอย</t>
  </si>
  <si>
    <t>ค่าใบอนุญาตเกี่ยวกับการควบคุมอาคาร</t>
  </si>
  <si>
    <t>ค่าวัสดุ</t>
  </si>
  <si>
    <t>ค่าสาธารณูปโภค</t>
  </si>
  <si>
    <t>เงินอุดหนุน</t>
  </si>
  <si>
    <t>รายจ่ายอื่น</t>
  </si>
  <si>
    <t>เงินสะสม</t>
  </si>
  <si>
    <t xml:space="preserve">    รายจ่ายค้างจ่าย</t>
  </si>
  <si>
    <t>ค่ารับรองสำเนาและถ่ายเอกสาร</t>
  </si>
  <si>
    <t>ค่าภาคหลวงแร่</t>
  </si>
  <si>
    <t>รายการ</t>
  </si>
  <si>
    <t>และประถมศึกษา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</si>
  <si>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</si>
  <si>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</si>
  <si>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</si>
  <si>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ค่าธรรมเนียมจดทะเบียนพาณิชย์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</si>
  <si>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</si>
  <si>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</t>
  </si>
  <si>
    <t>เงินเดือน (ฝ่ายการเมือง)</t>
  </si>
  <si>
    <t>เงินเดือน (ฝ่ายประจำ)</t>
  </si>
  <si>
    <r>
      <t>ชื่อเทศบาลตำบล</t>
    </r>
    <r>
      <rPr>
        <u val="single"/>
        <sz val="16"/>
        <rFont val="Angsana New"/>
        <family val="1"/>
      </rPr>
      <t xml:space="preserve">  ชุมโค  </t>
    </r>
  </si>
  <si>
    <t>เงินอุดหนุนโครงการ USO NET (กสทช.)</t>
  </si>
  <si>
    <t xml:space="preserve">    ลูกหนี้เงินสะสม</t>
  </si>
  <si>
    <t xml:space="preserve">     เจ้าหนี้เงินสะสม</t>
  </si>
  <si>
    <t>หมวด/ประเภท</t>
  </si>
  <si>
    <t>อากรการฆ่าสัตว์</t>
  </si>
  <si>
    <t>หมวดค่าธรรมเนียม ค่าปรับ และใบอนุญาต</t>
  </si>
  <si>
    <t>ค่าธรรมเนียมในการออกหนังสือรับรองการแจ้งสถานที่จำหน่ายอาหารหรือสะสมอาหาร</t>
  </si>
  <si>
    <t>โครงการก่อสร้างระบบประปาหมู่บ้าน แบบผิวดินขนาดใหญ่  บ้านถ้ำเขาพลู หมู่ที่ 3</t>
  </si>
  <si>
    <t>เงินเดือนครู ผดด.</t>
  </si>
  <si>
    <t>เงินประกันสังคม ผดด.</t>
  </si>
  <si>
    <t>โครงการก่อสร้างระบบประปาหมู่บ้านแบบผิวดินขนาดกลาง  บ้านชุมทรัพย์ หมู่ที่ 12</t>
  </si>
  <si>
    <t>โครงการปรับปรุงถนนลาดยางแอสฟัลท์ติกคอนกรีตสายน้ำตกทุ่งยอ-ดอนยาง หมู่ที่ 11</t>
  </si>
  <si>
    <t>รวมทั้งสิ้น</t>
  </si>
  <si>
    <t>รายได้จากสาธารณูปโภคและการพาณิชย์ (ค่าน้ำประปา )</t>
  </si>
  <si>
    <t>ภาษีและค่าธรรมเนียมรถยนต์หรือล้อเลื่อน</t>
  </si>
  <si>
    <t>ภาษีมูลค่าเพิ่มตาม พรบ.กำหนดแผนฯ</t>
  </si>
  <si>
    <t>ภาษีมูลค่าเพิ่มตาม พรบ.จัดสรรรายได้ฯ</t>
  </si>
  <si>
    <t>ค่าธรรมเนียมจดทะเบียนสิทธิและนิติกรรมตามประมวลกฎหมายที่ดิน</t>
  </si>
  <si>
    <t xml:space="preserve">    ลูกหนี้ภาษีบำรุงท้องที่</t>
  </si>
  <si>
    <t>ประกันสัญญา</t>
  </si>
  <si>
    <t>ประกันสังคม</t>
  </si>
  <si>
    <t>และชุมชน</t>
  </si>
  <si>
    <r>
      <t>อำเภอ</t>
    </r>
    <r>
      <rPr>
        <u val="single"/>
        <sz val="16"/>
        <rFont val="Angsana New"/>
        <family val="1"/>
      </rPr>
      <t xml:space="preserve">     ปะทิว     </t>
    </r>
    <r>
      <rPr>
        <sz val="16"/>
        <rFont val="Angsana New"/>
        <family val="1"/>
      </rPr>
      <t>จังหวัด</t>
    </r>
    <r>
      <rPr>
        <u val="single"/>
        <sz val="16"/>
        <rFont val="Angsana New"/>
        <family val="1"/>
      </rPr>
      <t xml:space="preserve">     ชุมพร    </t>
    </r>
  </si>
  <si>
    <t xml:space="preserve">     เงินเดือน(ฝ่ายการเมือง)</t>
  </si>
  <si>
    <t xml:space="preserve">     เงินเดือน(ฝ่ายประจำ)</t>
  </si>
  <si>
    <t>ค่าปรับผู้กระทำผิดกฎหมายจราจรทางบก</t>
  </si>
  <si>
    <t>ค่าขายแบบแปลน</t>
  </si>
  <si>
    <t>ภาษีสรรพสามิต</t>
  </si>
  <si>
    <t>ค่าภาคหลวงปิโตรเลียม</t>
  </si>
  <si>
    <t>อากรรังนกอีแอ่น</t>
  </si>
  <si>
    <t>เงินอุดหนุนระบุวัตถุประสงค์/เฉพาะกิจจากกรมส่งเสริมการปกครองท้องถิ่น</t>
  </si>
  <si>
    <t>เงินรับฝากอื่น ๆ-ค่าขายแบบแปลน</t>
  </si>
  <si>
    <t>ค่าธรรมเนียมเกี่ยวกับการประกอบกิจการน้ำมันเชื้อเพลิง</t>
  </si>
  <si>
    <r>
      <t>รายจ่ายค้างจ่าย</t>
    </r>
    <r>
      <rPr>
        <b/>
        <sz val="16"/>
        <rFont val="EucrosiaUPC"/>
        <family val="1"/>
      </rPr>
      <t xml:space="preserve"> (หมายเหตุ 2 )</t>
    </r>
  </si>
  <si>
    <r>
      <t>เงินรับฝาก</t>
    </r>
    <r>
      <rPr>
        <b/>
        <sz val="16"/>
        <rFont val="EucrosiaUPC"/>
        <family val="1"/>
      </rPr>
      <t xml:space="preserve"> (หมายเหตุ 3 )</t>
    </r>
  </si>
  <si>
    <r>
      <t>รายได้จากรัฐบาลค้างรับ</t>
    </r>
    <r>
      <rPr>
        <b/>
        <sz val="16"/>
        <rFont val="EucrosiaUPC"/>
        <family val="1"/>
      </rPr>
      <t xml:space="preserve"> (หมายเหตุ 1)</t>
    </r>
  </si>
  <si>
    <t>งบกลาง</t>
  </si>
  <si>
    <t xml:space="preserve">    เงินอุดหนุนทั่วไป</t>
  </si>
  <si>
    <t xml:space="preserve">    สินทรัพย์หมุนเวียนอื่น</t>
  </si>
  <si>
    <t>โครงการปรับปรุงภูมิทัศน์ ศพด.จำนวน 5 ศูนย์</t>
  </si>
  <si>
    <t xml:space="preserve"> -โครงการปรับปรุงซ่อมแซมประปาหมู่บ้านที่ตั้งบริเวณวัดหินกบ หมู่ที่ 6 บ้านบ่อเมา</t>
  </si>
  <si>
    <t xml:space="preserve"> -โครงการปรับปรุงซ่อมแซมประปาหมู่บ้านที่ตั้งบริเวณร.ร.สอนศาสนา หมู่ที่ 13 บ้านสมบูรณ์สุข</t>
  </si>
  <si>
    <t xml:space="preserve">     ลูกหนี้รายได้อื่นๆ </t>
  </si>
  <si>
    <t xml:space="preserve">     สินทรัพย์หมุนเวียนอื่นๆ </t>
  </si>
  <si>
    <t>(นางพัชรี  ช่วยดำรงค์)               (นายประจวบ  มิตร์วงษา)                     (นายชลิต  ชุมเกษียร)</t>
  </si>
  <si>
    <t xml:space="preserve">     ผู้อำนวยการกองคลัง                  ปลัดเทศบาลตำบลชุมโค                    นายกเทศมนตรีตำบลชุมโค</t>
  </si>
  <si>
    <t>เฉพาะกิจ(บาท)</t>
  </si>
  <si>
    <t>จนถึงปัจจุบัน</t>
  </si>
  <si>
    <t>ค่าครุภัณฑ์</t>
  </si>
  <si>
    <t>ค่าที่ดินและสิ่งก่อสร้าง</t>
  </si>
  <si>
    <t>จำนวนเงิน</t>
  </si>
  <si>
    <t xml:space="preserve">    ค่าธรรมเนียม ค่าปรับและใบอนุญาต</t>
  </si>
  <si>
    <t xml:space="preserve">    รายได้จากทรัพย์สิน</t>
  </si>
  <si>
    <t xml:space="preserve">    รายได้จากสาธารณูปโภคและการพาณิชย์</t>
  </si>
  <si>
    <t xml:space="preserve">    รายได้เบ็ดเตล็ด</t>
  </si>
  <si>
    <t xml:space="preserve">    ภาษีจัดสรร</t>
  </si>
  <si>
    <t>เดบิท</t>
  </si>
  <si>
    <t>เดือนนี้</t>
  </si>
  <si>
    <t>ยอดยกมา</t>
  </si>
  <si>
    <t>รวมรายรับ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</si>
  <si>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</si>
  <si>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</si>
  <si>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</si>
  <si>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</si>
  <si>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</si>
  <si>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>ค่ารักษาพยาบาล</t>
  </si>
  <si>
    <t xml:space="preserve">    เงินรับฝาก (หมายเหตุ 2 ) 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</si>
  <si>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</si>
  <si>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</si>
  <si>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</si>
  <si>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</si>
  <si>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</si>
  <si>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</si>
  <si>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รายรับ   -   รายจ่าย</t>
  </si>
  <si>
    <t>(ต่ำกว่า)</t>
  </si>
  <si>
    <t>หมวดเงินอุดหนุนระบุวัตถุประสงค์/เฉพาะกิจ</t>
  </si>
  <si>
    <t>ค่าธรรมเนียมอื่นๆ</t>
  </si>
  <si>
    <t xml:space="preserve">     รายได้จากรัฐบาลค้างรับ</t>
  </si>
  <si>
    <t xml:space="preserve">รายละเอียด ประกอบงบทดลอง </t>
  </si>
  <si>
    <t xml:space="preserve">รายรับจริงประกอบงบทดลอง </t>
  </si>
  <si>
    <t>ปีงบประมาณ  2562</t>
  </si>
  <si>
    <t>สินทรัพย์หมุนเวียนอื่นๆ</t>
  </si>
  <si>
    <t>ค่าตอบแทนผู้ปฏิบัติราชการอันเป็นประโยชน์แก่องค์กรปกครองส่วนท้องถิ่น</t>
  </si>
  <si>
    <t xml:space="preserve">    รายได้จากรัฐบาลค้างรับ</t>
  </si>
  <si>
    <t xml:space="preserve">รายละเอียด ประกอบรายงานรับ - จ่ายเงิน </t>
  </si>
  <si>
    <t xml:space="preserve">รายรับจริงประกอบรายงานรับ - จ่ายเงิน  </t>
  </si>
  <si>
    <r>
      <t>รายรับ</t>
    </r>
    <r>
      <rPr>
        <sz val="14"/>
        <rFont val="Angsana New"/>
        <family val="1"/>
      </rPr>
      <t xml:space="preserve"> (หมายเหตุ1)</t>
    </r>
  </si>
  <si>
    <t>สร้างความเข้มแข็งของชุมชน</t>
  </si>
  <si>
    <t>รายได้ที่รัฐบาลอุดหนุนให้โดยระบุวัตถุประสงค์/เฉพาะกิจ</t>
  </si>
  <si>
    <t>รายงาน  รับ - จ่ายเงิน</t>
  </si>
  <si>
    <t>หมวดที่จ่าย</t>
  </si>
  <si>
    <t>(นางพัชรี  ช่วยดำรงค์)               (นายประจวบ  มิตร์วงษา)                       (นายชลิต  ชุมเกษียร)</t>
  </si>
  <si>
    <t xml:space="preserve">    ผู้อำนวยการกองคลัง                  ปลัดเทศบาลตำบลชุมโค                    นายกเทศมนตรีตำบลชุมโค</t>
  </si>
  <si>
    <t xml:space="preserve">     เงินฝาก - ก.ส.ท.</t>
  </si>
  <si>
    <t xml:space="preserve">     ลูกหนี้-ภาษีบำรุงท้องที่ </t>
  </si>
  <si>
    <t>เงินฝาก-ออมทรัพย์ ธกส.สาขาปะทิว 01-498-2-46332-6</t>
  </si>
  <si>
    <t>เงินฝาก-ออมทรัพย์ ธ.กรุงไทยสาขาชุมพร 803-0-46531-9</t>
  </si>
  <si>
    <t>อุตสาหกรรมและ</t>
  </si>
  <si>
    <t>พื้นฐาน</t>
  </si>
  <si>
    <t>.</t>
  </si>
  <si>
    <t>ค่าตอบแทน จนท.การเงินของ อปท.</t>
  </si>
  <si>
    <r>
      <t>งบกลาง(ท)</t>
    </r>
    <r>
      <rPr>
        <b/>
        <sz val="16"/>
        <rFont val="EucrosiaUPC"/>
        <family val="1"/>
      </rPr>
      <t xml:space="preserve"> (หมายเหตุ 4 )</t>
    </r>
  </si>
  <si>
    <t>ค่าตอบแทนพนักงานจ้าง ผดด.</t>
  </si>
  <si>
    <t>เบี้ยยังชีพผู้พิการ</t>
  </si>
  <si>
    <t>นันทนาการ</t>
  </si>
  <si>
    <t>ค่าตอบแทน จนท.ตัวแทนสหกรณ์ออมทรัพย์ พนง.</t>
  </si>
  <si>
    <t>เงินปันผลสมาชิกสหกรณ์ออมทรัพย์ พนง.เทศบาล</t>
  </si>
  <si>
    <t>วัฒนธรรม</t>
  </si>
  <si>
    <t>เงินเดือนครูผู้ดูแลเด็ก</t>
  </si>
  <si>
    <t>ค่าตอบแทน พนง.จ้าง ผดด.</t>
  </si>
  <si>
    <t>เงินเพิ่มค่าครองชีพชั่วคราว ผดด.</t>
  </si>
  <si>
    <t>เงินสมทบประกันสังคม ผดด.</t>
  </si>
  <si>
    <t>ค่าจัดการเรียนการสอน(รายหัว) ศพด.</t>
  </si>
  <si>
    <t>เงินสวัสดิการศึกษาบุตรครู ผดด.</t>
  </si>
  <si>
    <t>ค่ากระแสไฟฟ้าสถานีสูบน้ำ</t>
  </si>
  <si>
    <t xml:space="preserve"> -โครงการพัฒนาคุณภาพการศึกษาด้วยเทคโนโลยีสารสนเทศดวย DLTV ศพด.บ้านคลองวังช้าง</t>
  </si>
  <si>
    <r>
      <t>เงินรับฝาก</t>
    </r>
    <r>
      <rPr>
        <b/>
        <sz val="16"/>
        <rFont val="EucrosiaUPC"/>
        <family val="1"/>
      </rPr>
      <t xml:space="preserve"> (หมายเหตุ 2)</t>
    </r>
  </si>
  <si>
    <t xml:space="preserve">    ลูกหนี้รายได้อื่นๆ</t>
  </si>
  <si>
    <t>กระดาษทำการกระทบยอดรายจ่ายตามงบประมาณ (จ่ายจากรายรับ)</t>
  </si>
  <si>
    <t>แผนงาน/งาน</t>
  </si>
  <si>
    <t>รักษาความสงบภายใน</t>
  </si>
  <si>
    <t>สังคมสงเคราะห์</t>
  </si>
  <si>
    <t>การศาสนาวัฒนธรรมและนันทนาการ</t>
  </si>
  <si>
    <t xml:space="preserve"> 00110</t>
  </si>
  <si>
    <t>00120</t>
  </si>
  <si>
    <t>00210</t>
  </si>
  <si>
    <t>00220</t>
  </si>
  <si>
    <t>00230</t>
  </si>
  <si>
    <t>00240</t>
  </si>
  <si>
    <t>00250</t>
  </si>
  <si>
    <t>00260</t>
  </si>
  <si>
    <t>การโยธา  00310</t>
  </si>
  <si>
    <t>00410</t>
  </si>
  <si>
    <t>บริการสาธารณสุข</t>
  </si>
  <si>
    <t>สวัสดิการสังคม</t>
  </si>
  <si>
    <t>กำจัดขยะ</t>
  </si>
  <si>
    <t>ส่งเสริมและ</t>
  </si>
  <si>
    <t>กีฬาและ</t>
  </si>
  <si>
    <t>ศาสนา/</t>
  </si>
  <si>
    <t>วิชาการวางแผน</t>
  </si>
  <si>
    <t>ก่อสร้าง</t>
  </si>
  <si>
    <t>เกี่ยวกับการรักษา</t>
  </si>
  <si>
    <t>เกี่ยวกับเคหะ</t>
  </si>
  <si>
    <t>มูลฝอยและ</t>
  </si>
  <si>
    <t>เกี่ยวกับสร้างความ</t>
  </si>
  <si>
    <t>สนับสนุนความ</t>
  </si>
  <si>
    <t>และส่งเสริม</t>
  </si>
  <si>
    <t>โครงสร้าง</t>
  </si>
  <si>
    <t>ความสงบภายใน</t>
  </si>
  <si>
    <t>งานสาธารณสุขอื่น</t>
  </si>
  <si>
    <t>สิ่งปฏิกูล</t>
  </si>
  <si>
    <t>เข้มแข็งของชุมชน</t>
  </si>
  <si>
    <t>เข้มแข็งชุมชน</t>
  </si>
  <si>
    <t>ท้องถิ่น</t>
  </si>
  <si>
    <t>การท่องเที่ยว</t>
  </si>
  <si>
    <t>หมวด/ประเภทรายจ่าย</t>
  </si>
  <si>
    <t>00111</t>
  </si>
  <si>
    <t>00113</t>
  </si>
  <si>
    <t>00121</t>
  </si>
  <si>
    <t>00211</t>
  </si>
  <si>
    <t>00212</t>
  </si>
  <si>
    <t>00223</t>
  </si>
  <si>
    <t>00232</t>
  </si>
  <si>
    <t>00241</t>
  </si>
  <si>
    <t>00244</t>
  </si>
  <si>
    <t>00251</t>
  </si>
  <si>
    <t>00252</t>
  </si>
  <si>
    <t>00262</t>
  </si>
  <si>
    <t>00263</t>
  </si>
  <si>
    <t>00264</t>
  </si>
  <si>
    <t>00312</t>
  </si>
  <si>
    <t>00411</t>
  </si>
  <si>
    <t xml:space="preserve"> -เงินสมทบกองทุน(ปกส.)</t>
  </si>
  <si>
    <t xml:space="preserve"> -เบี้ยยังชีพผู้สูงอายุ</t>
  </si>
  <si>
    <t xml:space="preserve"> -เบี้ยยังชีพคนพิการ</t>
  </si>
  <si>
    <t xml:space="preserve"> -เบี้ยยังชีพผู้ป่วยโรคเอดส์</t>
  </si>
  <si>
    <t xml:space="preserve"> -สำรองจ่าย</t>
  </si>
  <si>
    <t xml:space="preserve"> -รายจ่ายตามข้อผูกพัน</t>
  </si>
  <si>
    <t>บำเหน็จ/บำนาญ</t>
  </si>
  <si>
    <t xml:space="preserve"> -เงินสมทบ(กบท.)</t>
  </si>
  <si>
    <t xml:space="preserve"> -เงินบำเหน็จลูกจ้างประจำ</t>
  </si>
  <si>
    <t>รวมเดือนนี้</t>
  </si>
  <si>
    <t>รวมตั้งแต่ต้นปี</t>
  </si>
  <si>
    <t>เงินเดือน(ฝ่ายการเมือง)</t>
  </si>
  <si>
    <t xml:space="preserve"> -เงินเดือนนายก/รองนายก</t>
  </si>
  <si>
    <t xml:space="preserve"> -เงินค่าตอบแทนประจำตำแหน่งนายก/รองฯ</t>
  </si>
  <si>
    <t xml:space="preserve"> -เงินค่าตอบแทนพิเศษนายก/รองนายก</t>
  </si>
  <si>
    <t xml:space="preserve"> -เงินค่าตอบแทนเลขานุการ/ที่ปรึกษา</t>
  </si>
  <si>
    <t xml:space="preserve"> -เงินค่าตอบแทนสมาชิกสภา อปท.</t>
  </si>
  <si>
    <t>เงินเดือน(ฝ่ายประจำ)</t>
  </si>
  <si>
    <t xml:space="preserve"> -เงินเดือนพนักงาน</t>
  </si>
  <si>
    <t xml:space="preserve"> -เงินเพิ่มต่างๆของพนักงาน</t>
  </si>
  <si>
    <t xml:space="preserve"> -เงินประจำตำแหน่ง</t>
  </si>
  <si>
    <t xml:space="preserve"> -ค่าจ้างลูกจ้างประจำ</t>
  </si>
  <si>
    <t xml:space="preserve"> -เงินเพิ่มต่างๆของลูกจ้างประจำ</t>
  </si>
  <si>
    <t xml:space="preserve"> -ค่าตอบแทนพนักงานจ้าง</t>
  </si>
  <si>
    <t xml:space="preserve"> -เงินเพิ่มต่างๆของพนักงานจ้าง</t>
  </si>
  <si>
    <t xml:space="preserve"> -ผู้ปฎิบัติราชการอันเป็นประโยชน์แก่ อปท.</t>
  </si>
  <si>
    <t xml:space="preserve"> -ค่าเบี้ยประชุม</t>
  </si>
  <si>
    <t xml:space="preserve"> -การปฎิบัติงานนอกเวลาราชการ</t>
  </si>
  <si>
    <t xml:space="preserve"> -ค่าเช่าบ้าน</t>
  </si>
  <si>
    <t xml:space="preserve"> -เงินช่วยเหลือการศึกษาบุตร</t>
  </si>
  <si>
    <t xml:space="preserve"> -เงินช่วยเหลือค่ารักษาพยาบาล</t>
  </si>
  <si>
    <t xml:space="preserve"> -รายจ่ายเพื่อให้ได้มาซึ่งบริการ</t>
  </si>
  <si>
    <t xml:space="preserve"> -รายจ่ายเกี่ยวกับการรับรองและพิธีการ</t>
  </si>
  <si>
    <t xml:space="preserve"> -รายจ่ายเกี่ยวเนื่องกับการปฎิบัติราชการ</t>
  </si>
  <si>
    <t xml:space="preserve">  ที่ไม่เข้าลักษณะรายจ่ายหมวดอื่น</t>
  </si>
  <si>
    <t xml:space="preserve"> -ค่าบำรุงรักษาและซ่อมแซม</t>
  </si>
  <si>
    <t xml:space="preserve"> -วัสดุสำนักงาน</t>
  </si>
  <si>
    <t xml:space="preserve"> -วัสดุไฟฟ้าและวิทยุ</t>
  </si>
  <si>
    <t xml:space="preserve"> -วัสดุงานบ้านงานครัว</t>
  </si>
  <si>
    <t xml:space="preserve"> -ค่าอาหารเสริม(นม)</t>
  </si>
  <si>
    <t xml:space="preserve"> -ค่าอาหารกลางวันเด็กนักเรียน</t>
  </si>
  <si>
    <t xml:space="preserve"> -วัสดุก่อสร้าง</t>
  </si>
  <si>
    <t xml:space="preserve"> -วัสดุยานพาหนะและขนส่ง</t>
  </si>
  <si>
    <t xml:space="preserve"> -วัสดุเชื้อเพลิงและหล่อลื่น</t>
  </si>
  <si>
    <t xml:space="preserve"> -วัสดุวิทยาศาสตร์หรือการแพทย์</t>
  </si>
  <si>
    <t xml:space="preserve"> -วัสดุการเกษตร</t>
  </si>
  <si>
    <t xml:space="preserve"> -วัสดุโฆษณาและเผยแพร่</t>
  </si>
  <si>
    <t xml:space="preserve"> -วัสดุเครื่องแต่งกาย</t>
  </si>
  <si>
    <t xml:space="preserve"> -วัสดุคอมพิวเตอร์</t>
  </si>
  <si>
    <t xml:space="preserve"> -วัสดุอื่น ๆ(วัสดุประปา)</t>
  </si>
  <si>
    <t xml:space="preserve"> -ค่าไฟฟ้า</t>
  </si>
  <si>
    <t xml:space="preserve"> -ค่าน้ำประปา</t>
  </si>
  <si>
    <t xml:space="preserve"> -ค่าโทรศัพท์</t>
  </si>
  <si>
    <t xml:space="preserve"> -ค่าไปรษณีย์</t>
  </si>
  <si>
    <t xml:space="preserve"> -ค่าบริการทางด้านโทรคมนาคม</t>
  </si>
  <si>
    <t xml:space="preserve"> -ครุภัณฑ์สำนักงาน</t>
  </si>
  <si>
    <t xml:space="preserve"> -ครุภัณฑ์ยานพาหนะและขนส่ง</t>
  </si>
  <si>
    <t xml:space="preserve"> -ครุภัณฑ์การเกษตร</t>
  </si>
  <si>
    <t xml:space="preserve"> -ครุภัณฑ์ก่อสร้าง</t>
  </si>
  <si>
    <t xml:space="preserve"> -ครุภัณฑ์ไฟฟ้าและวิทยุ</t>
  </si>
  <si>
    <t xml:space="preserve"> -ครุภัณฑ์โฆษณาและเผยแพร่</t>
  </si>
  <si>
    <t xml:space="preserve"> -ครุภัณฑ์งานบ้านงานครัว</t>
  </si>
  <si>
    <t xml:space="preserve"> -ครุภัณฑ์โรงงาน</t>
  </si>
  <si>
    <t xml:space="preserve"> -ครุภัณฑ์เครื่องดับเพลิง</t>
  </si>
  <si>
    <t xml:space="preserve"> -ครุภัณฑ์สำรวจ</t>
  </si>
  <si>
    <t xml:space="preserve"> -ครุภัณฑ์คอมพิวเตอร์</t>
  </si>
  <si>
    <t xml:space="preserve"> -ค่าบำรุงรักษาและปรับปรุงครุภัณฑ์</t>
  </si>
  <si>
    <t xml:space="preserve"> -ค่าก่อสร้างสิ่งสาธารณูปโภค</t>
  </si>
  <si>
    <t xml:space="preserve"> -ค่าบำรุงรักษาและปรับปรุงที่ดินและสิ่งก่อสร้าง</t>
  </si>
  <si>
    <t xml:space="preserve"> -ค่าจ้างที่ปรึกษาเพื่อศึกษาวิจัยประเมินผล </t>
  </si>
  <si>
    <t xml:space="preserve">  หรือพัฒนาระบบต่างๆ ซึ่งมิใช่เพื่อการจัดหาฯ</t>
  </si>
  <si>
    <t xml:space="preserve"> -เงินประโยชน์ตอบแทนอื่นเป็นกรณีพิเศษ</t>
  </si>
  <si>
    <t xml:space="preserve"> -เงินอุดหนุนองค์กรปกครองส่วนท้องถิ่น</t>
  </si>
  <si>
    <t xml:space="preserve"> -เงินอุดหนุนส่วนราชการ</t>
  </si>
  <si>
    <t xml:space="preserve"> -เงินอุดหนุนเอกชน</t>
  </si>
  <si>
    <t xml:space="preserve"> -เงินอุดหนุนกิจการที่เป็นสาธารณประโยชน์</t>
  </si>
  <si>
    <t>กระดาษทำการกระทบยอดงบประมาณคงเหลือ</t>
  </si>
  <si>
    <t xml:space="preserve"> -เงินสมทบกองทุนเงินทดแทน</t>
  </si>
  <si>
    <t xml:space="preserve"> -เงินช่วยพิเศษ</t>
  </si>
  <si>
    <t xml:space="preserve"> -วัสดุเครื่องดับเพลิง</t>
  </si>
  <si>
    <t xml:space="preserve"> -ครุภัณฑ์อื่น</t>
  </si>
  <si>
    <t>รวมทั้งสิ้นเดือนนี้</t>
  </si>
  <si>
    <t>ลูกหนี้รายได้อื่นๆ</t>
  </si>
  <si>
    <t xml:space="preserve">    ค่าปรับหน้าฎีกา</t>
  </si>
  <si>
    <t>เงินฝาก-ออมทรัพย์ ธกส.สาขาปะทิว 02-0014-87858-9</t>
  </si>
  <si>
    <t>ค่าครุภัณฑ์(ก)</t>
  </si>
  <si>
    <t xml:space="preserve"> -โครงการปรับปรุงซ่อมแซมระบบประปาหมู่บ้านแบบบาดาลขนาดกลาง ม.13</t>
  </si>
  <si>
    <t xml:space="preserve">     ค่าครุภัณฑ์(ก)</t>
  </si>
  <si>
    <t>เงินรายรับ(หมายเหตุ 4 )</t>
  </si>
  <si>
    <t>ค่าที่ดินและสิ่งก่อสร้าง(ก)</t>
  </si>
  <si>
    <t>หมายเหตุ 4</t>
  </si>
  <si>
    <t>เงินที่มีผู้อุทิศให้</t>
  </si>
  <si>
    <t xml:space="preserve">     ค่าที่ดินและสิ่งก่อสร้าง(ก)</t>
  </si>
  <si>
    <t>เงินให้กู้ยืมเพื่อการศึกษา (กยศ.)</t>
  </si>
  <si>
    <t>กระดาษทำการกระทบยอด</t>
  </si>
  <si>
    <t>การโอนงบประมาณรายจ่าย</t>
  </si>
  <si>
    <t>โอนงบประมาณ  เพิ่ม  +</t>
  </si>
  <si>
    <t>โอนงบประมาณ  (ลด)  -</t>
  </si>
  <si>
    <t>กำจัด</t>
  </si>
  <si>
    <t>เกี่ยวกับเคหะฯ</t>
  </si>
  <si>
    <t>ขยะฯ</t>
  </si>
  <si>
    <t>และส่งเสริมฯ</t>
  </si>
  <si>
    <t>รวมค่าใช้สอย</t>
  </si>
  <si>
    <t>รวมค่าตอบแทน</t>
  </si>
  <si>
    <t>ณ วันที่  30  เมษายน  2562</t>
  </si>
  <si>
    <r>
      <t xml:space="preserve">ณ  วันที่  </t>
    </r>
    <r>
      <rPr>
        <b/>
        <u val="single"/>
        <sz val="16"/>
        <rFont val="EucrosiaUPC"/>
        <family val="1"/>
      </rPr>
      <t>30  เมษายน  2562</t>
    </r>
  </si>
  <si>
    <t>เงินรับฝากอื่น ๆ-เงินอุดหนุนทั่วไปสำหรับดำเนินการตามอำนาจหน้าที่ฯ(รอส่งคืนกรมฯ)</t>
  </si>
  <si>
    <r>
      <t xml:space="preserve">ปีงบประมาณ  </t>
    </r>
    <r>
      <rPr>
        <b/>
        <u val="single"/>
        <sz val="16"/>
        <rFont val="Angsana New"/>
        <family val="1"/>
      </rPr>
      <t>2562</t>
    </r>
    <r>
      <rPr>
        <b/>
        <sz val="16"/>
        <rFont val="Angsana New"/>
        <family val="1"/>
      </rPr>
      <t xml:space="preserve">  ประจำเดือน </t>
    </r>
    <r>
      <rPr>
        <b/>
        <u val="single"/>
        <sz val="16"/>
        <rFont val="Angsana New"/>
        <family val="1"/>
      </rPr>
      <t xml:space="preserve"> เมษายน</t>
    </r>
  </si>
  <si>
    <t xml:space="preserve">     รายจ่ายค้างจ่าย </t>
  </si>
  <si>
    <t xml:space="preserve">     เงินรับฝาก ( หมายเหตุ 3 )</t>
  </si>
  <si>
    <r>
      <t xml:space="preserve">ประจำเดือน   </t>
    </r>
    <r>
      <rPr>
        <b/>
        <u val="single"/>
        <sz val="16"/>
        <rFont val="AngsanaUPC"/>
        <family val="1"/>
      </rPr>
      <t>เมษายน</t>
    </r>
    <r>
      <rPr>
        <b/>
        <sz val="16"/>
        <rFont val="AngsanaUPC"/>
        <family val="1"/>
      </rPr>
      <t xml:space="preserve">    ปีงบประมาณ พ.ศ.2562</t>
    </r>
  </si>
  <si>
    <r>
      <t xml:space="preserve">ประจำเดือน  </t>
    </r>
    <r>
      <rPr>
        <b/>
        <u val="single"/>
        <sz val="16"/>
        <rFont val="AngsanaUPC"/>
        <family val="1"/>
      </rPr>
      <t>เมษายน</t>
    </r>
    <r>
      <rPr>
        <b/>
        <sz val="16"/>
        <rFont val="AngsanaUPC"/>
        <family val="1"/>
      </rPr>
      <t xml:space="preserve">  ปีงบประมาณ พ.ศ.2562</t>
    </r>
  </si>
  <si>
    <r>
      <t xml:space="preserve">เดือน  </t>
    </r>
    <r>
      <rPr>
        <b/>
        <u val="single"/>
        <sz val="16"/>
        <rFont val="AngsanaUPC"/>
        <family val="1"/>
      </rPr>
      <t>เมษายน  2562</t>
    </r>
  </si>
  <si>
    <t>รวมเงินเดือน(ฝ่ายประจำ)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</si>
</sst>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_-* #,##0.0_-;\-* #,##0.0_-;_-* &quot;-&quot;??_-;_-@_-"/>
    <numFmt numFmtId="211" formatCode="_-* #,##0_-;\-* #,##0_-;_-* &quot;-&quot;??_-;_-@_-"/>
    <numFmt numFmtId="212" formatCode="_-* #,##0.000000_-;\-* #,##0.000000_-;_-* &quot;-&quot;??_-;_-@_-"/>
    <numFmt numFmtId="213" formatCode="_-* #,##0.0000000_-;\-* #,##0.0000000_-;_-* &quot;-&quot;??_-;_-@_-"/>
    <numFmt numFmtId="214" formatCode="_-* #,##0.00000000_-;\-* #,##0.00000000_-;_-* &quot;-&quot;??_-;_-@_-"/>
    <numFmt numFmtId="215" formatCode="_-* #,##0.000000000_-;\-* #,##0.000000000_-;_-* &quot;-&quot;??_-;_-@_-"/>
    <numFmt numFmtId="216" formatCode="_-* #,##0.0000000000_-;\-* #,##0.0000000000_-;_-* &quot;-&quot;??_-;_-@_-"/>
    <numFmt numFmtId="217" formatCode="_-* #,##0.00000000000_-;\-* #,##0.00000000000_-;_-* &quot;-&quot;??_-;_-@_-"/>
    <numFmt numFmtId="218" formatCode="_-* #,##0.000000000000_-;\-* #,##0.000000000000_-;_-* &quot;-&quot;??_-;_-@_-"/>
    <numFmt numFmtId="219" formatCode="_-* #,##0.0000000000000_-;\-* #,##0.0000000000000_-;_-* &quot;-&quot;??_-;_-@_-"/>
    <numFmt numFmtId="220" formatCode="_-* #,##0.00000000000000_-;\-* #,##0.00000000000000_-;_-* &quot;-&quot;??_-;_-@_-"/>
    <numFmt numFmtId="221" formatCode="_-* #,##0.000000000000000_-;\-* #,##0.000000000000000_-;_-* &quot;-&quot;??_-;_-@_-"/>
    <numFmt numFmtId="222" formatCode="_-* #,##0.0000000000000000_-;\-* #,##0.0000000000000000_-;_-* &quot;-&quot;??_-;_-@_-"/>
    <numFmt numFmtId="223" formatCode="_-* #,##0.00000000000000000_-;\-* #,##0.00000000000000000_-;_-* &quot;-&quot;??_-;_-@_-"/>
    <numFmt numFmtId="224" formatCode="_-* #,##0.000000000000000000_-;\-* #,##0.000000000000000000_-;_-* &quot;-&quot;??_-;_-@_-"/>
    <numFmt numFmtId="225" formatCode="_-* #,##0.0000000000000000000_-;\-* #,##0.0000000000000000000_-;_-* &quot;-&quot;??_-;_-@_-"/>
    <numFmt numFmtId="226" formatCode="_-* #,##0.00000000000000000000_-;\-* #,##0.00000000000000000000_-;_-* &quot;-&quot;??_-;_-@_-"/>
    <numFmt numFmtId="227" formatCode="_-* #,##0.000000000000000000000_-;\-* #,##0.000000000000000000000_-;_-* &quot;-&quot;??_-;_-@_-"/>
    <numFmt numFmtId="228" formatCode="_-* #,##0.0000000000000000000000_-;\-* #,##0.0000000000000000000000_-;_-* &quot;-&quot;??_-;_-@_-"/>
    <numFmt numFmtId="229" formatCode="#,##0.000"/>
    <numFmt numFmtId="230" formatCode="#,##0.0"/>
    <numFmt numFmtId="231" formatCode="#,##0.00_ ;\-#,##0.00\ "/>
    <numFmt numFmtId="232" formatCode="#,##0.00_ ;[Red]\-#,##0.00\ "/>
    <numFmt numFmtId="233" formatCode="#,##0.00;[Red]#,##0.00"/>
    <numFmt numFmtId="234" formatCode="0.00_ ;\-0.00\ "/>
    <numFmt numFmtId="235" formatCode="0_ ;\-0\ "/>
    <numFmt numFmtId="236" formatCode="0.0"/>
    <numFmt numFmtId="237" formatCode="#,##0.0_ ;\-#,##0.0\ "/>
    <numFmt numFmtId="238" formatCode="#,##0_ ;\-#,##0\ "/>
    <numFmt numFmtId="239" formatCode="#,##0.000_ ;\-#,##0.000\ "/>
    <numFmt numFmtId="240" formatCode="#,##0.0000_ ;\-#,##0.0000\ "/>
    <numFmt numFmtId="241" formatCode="0.000"/>
  </numFmts>
  <fonts count="78">
    <font>
      <sz val="14"/>
      <name val="Cordia New"/>
      <family val="0"/>
    </font>
    <font>
      <sz val="14"/>
      <name val="EucrosiaUPC"/>
      <family val="1"/>
    </font>
    <font>
      <b/>
      <sz val="14"/>
      <name val="EucrosiaUPC"/>
      <family val="1"/>
    </font>
    <font>
      <b/>
      <sz val="18"/>
      <name val="EucrosiaUPC"/>
      <family val="1"/>
    </font>
    <font>
      <b/>
      <sz val="16"/>
      <name val="EucrosiaUPC"/>
      <family val="1"/>
    </font>
    <font>
      <sz val="16"/>
      <name val="EucrosiaUPC"/>
      <family val="1"/>
    </font>
    <font>
      <b/>
      <sz val="20"/>
      <name val="EucrosiaUPC"/>
      <family val="1"/>
    </font>
    <font>
      <b/>
      <u val="single"/>
      <sz val="16"/>
      <name val="EucrosiaUPC"/>
      <family val="1"/>
    </font>
    <font>
      <u val="single"/>
      <sz val="16"/>
      <name val="EucrosiaUPC"/>
      <family val="1"/>
    </font>
    <font>
      <b/>
      <u val="single"/>
      <sz val="14"/>
      <name val="EucrosiaUPC"/>
      <family val="1"/>
    </font>
    <font>
      <sz val="12"/>
      <name val="EucrosiaUPC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4"/>
      <color indexed="10"/>
      <name val="Angsana New"/>
      <family val="1"/>
    </font>
    <font>
      <sz val="15"/>
      <name val="Eucrosi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3"/>
      <name val="EucrosiaUPC"/>
      <family val="1"/>
    </font>
    <font>
      <sz val="12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5"/>
      <name val="EucrosiaUPC"/>
      <family val="1"/>
    </font>
    <font>
      <sz val="12"/>
      <name val="Angsana New"/>
      <family val="1"/>
    </font>
    <font>
      <b/>
      <sz val="13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sz val="10"/>
      <name val="AngsanaUPC"/>
      <family val="1"/>
    </font>
    <font>
      <sz val="10"/>
      <name val="Arial"/>
      <family val="2"/>
    </font>
    <font>
      <b/>
      <sz val="10"/>
      <name val="AngsanaUPC"/>
      <family val="1"/>
    </font>
    <font>
      <sz val="9"/>
      <name val="AngsanaUPC"/>
      <family val="1"/>
    </font>
    <font>
      <b/>
      <sz val="9"/>
      <name val="AngsanaUPC"/>
      <family val="1"/>
    </font>
    <font>
      <sz val="8"/>
      <name val="AngsanaUPC"/>
      <family val="1"/>
    </font>
    <font>
      <sz val="7"/>
      <name val="AngsanaUPC"/>
      <family val="1"/>
    </font>
    <font>
      <sz val="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Eucrosi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23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69" fillId="23" borderId="1" applyNumberFormat="0" applyAlignment="0" applyProtection="0"/>
    <xf numFmtId="0" fontId="70" fillId="24" borderId="0" applyNumberFormat="0" applyBorder="0" applyAlignment="0" applyProtection="0"/>
    <xf numFmtId="0" fontId="71" fillId="0" borderId="4" applyNumberFormat="0" applyFill="0" applyAlignment="0" applyProtection="0"/>
    <xf numFmtId="0" fontId="72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3" fillId="20" borderId="5" applyNumberFormat="0" applyAlignment="0" applyProtection="0"/>
    <xf numFmtId="0" fontId="0" fillId="32" borderId="6" applyNumberFormat="0" applyFon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5" fillId="0" borderId="0" xfId="0" applyFont="1" applyAlignment="1">
      <alignment/>
    </xf>
    <xf numFmtId="231" fontId="5" fillId="0" borderId="0" xfId="33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233" fontId="4" fillId="0" borderId="18" xfId="33" applyNumberFormat="1" applyFont="1" applyBorder="1" applyAlignment="1">
      <alignment vertical="center"/>
    </xf>
    <xf numFmtId="233" fontId="4" fillId="0" borderId="0" xfId="33" applyNumberFormat="1" applyFont="1" applyBorder="1" applyAlignment="1">
      <alignment vertical="center"/>
    </xf>
    <xf numFmtId="231" fontId="5" fillId="0" borderId="0" xfId="33" applyFont="1" applyAlignment="1">
      <alignment vertical="center"/>
    </xf>
    <xf numFmtId="231" fontId="5" fillId="0" borderId="0" xfId="33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231" fontId="5" fillId="0" borderId="16" xfId="33" applyFont="1" applyFill="1" applyBorder="1" applyAlignment="1">
      <alignment vertical="center"/>
    </xf>
    <xf numFmtId="231" fontId="5" fillId="0" borderId="14" xfId="33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24" xfId="0" applyFont="1" applyBorder="1" applyAlignment="1">
      <alignment horizontal="center" vertical="center"/>
    </xf>
    <xf numFmtId="231" fontId="11" fillId="0" borderId="25" xfId="33" applyNumberFormat="1" applyFont="1" applyBorder="1" applyAlignment="1">
      <alignment vertical="center"/>
    </xf>
    <xf numFmtId="4" fontId="11" fillId="0" borderId="26" xfId="33" applyNumberFormat="1" applyFont="1" applyBorder="1" applyAlignment="1">
      <alignment vertical="center"/>
    </xf>
    <xf numFmtId="231" fontId="11" fillId="0" borderId="17" xfId="33" applyNumberFormat="1" applyFont="1" applyBorder="1" applyAlignment="1">
      <alignment vertical="center"/>
    </xf>
    <xf numFmtId="231" fontId="17" fillId="0" borderId="14" xfId="33" applyNumberFormat="1" applyFont="1" applyBorder="1" applyAlignment="1">
      <alignment vertical="center"/>
    </xf>
    <xf numFmtId="4" fontId="11" fillId="0" borderId="27" xfId="33" applyNumberFormat="1" applyFont="1" applyBorder="1" applyAlignment="1">
      <alignment vertical="center"/>
    </xf>
    <xf numFmtId="231" fontId="11" fillId="0" borderId="17" xfId="33" applyNumberFormat="1" applyFont="1" applyBorder="1" applyAlignment="1">
      <alignment horizontal="right" vertical="center"/>
    </xf>
    <xf numFmtId="231" fontId="11" fillId="0" borderId="14" xfId="33" applyNumberFormat="1" applyFont="1" applyFill="1" applyBorder="1" applyAlignment="1">
      <alignment vertical="center"/>
    </xf>
    <xf numFmtId="0" fontId="11" fillId="0" borderId="14" xfId="0" applyFont="1" applyBorder="1" applyAlignment="1" quotePrefix="1">
      <alignment horizontal="center" vertical="center"/>
    </xf>
    <xf numFmtId="231" fontId="11" fillId="0" borderId="17" xfId="33" applyFont="1" applyBorder="1" applyAlignment="1">
      <alignment horizontal="right" vertical="center"/>
    </xf>
    <xf numFmtId="231" fontId="11" fillId="0" borderId="14" xfId="33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231" fontId="14" fillId="0" borderId="28" xfId="33" applyNumberFormat="1" applyFont="1" applyBorder="1" applyAlignment="1">
      <alignment vertical="center"/>
    </xf>
    <xf numFmtId="4" fontId="14" fillId="0" borderId="29" xfId="33" applyNumberFormat="1" applyFont="1" applyBorder="1" applyAlignment="1">
      <alignment vertical="center"/>
    </xf>
    <xf numFmtId="4" fontId="11" fillId="0" borderId="30" xfId="33" applyNumberFormat="1" applyFont="1" applyBorder="1" applyAlignment="1">
      <alignment vertical="center"/>
    </xf>
    <xf numFmtId="231" fontId="14" fillId="0" borderId="0" xfId="33" applyNumberFormat="1" applyFont="1" applyBorder="1" applyAlignment="1">
      <alignment vertical="center"/>
    </xf>
    <xf numFmtId="4" fontId="11" fillId="0" borderId="27" xfId="33" applyNumberFormat="1" applyFont="1" applyBorder="1" applyAlignment="1">
      <alignment vertical="center"/>
    </xf>
    <xf numFmtId="231" fontId="11" fillId="0" borderId="0" xfId="33" applyNumberFormat="1" applyFont="1" applyBorder="1" applyAlignment="1">
      <alignment vertical="center"/>
    </xf>
    <xf numFmtId="231" fontId="11" fillId="0" borderId="15" xfId="33" applyNumberFormat="1" applyFont="1" applyBorder="1" applyAlignment="1">
      <alignment vertical="center"/>
    </xf>
    <xf numFmtId="0" fontId="11" fillId="0" borderId="15" xfId="0" applyFont="1" applyBorder="1" applyAlignment="1" quotePrefix="1">
      <alignment horizontal="center" vertical="center"/>
    </xf>
    <xf numFmtId="231" fontId="14" fillId="0" borderId="21" xfId="33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4" fontId="11" fillId="0" borderId="25" xfId="33" applyNumberFormat="1" applyFont="1" applyBorder="1" applyAlignment="1">
      <alignment vertical="center"/>
    </xf>
    <xf numFmtId="4" fontId="11" fillId="0" borderId="16" xfId="33" applyNumberFormat="1" applyFont="1" applyBorder="1" applyAlignment="1">
      <alignment vertical="center"/>
    </xf>
    <xf numFmtId="4" fontId="11" fillId="0" borderId="17" xfId="33" applyNumberFormat="1" applyFont="1" applyBorder="1" applyAlignment="1">
      <alignment vertical="center"/>
    </xf>
    <xf numFmtId="4" fontId="11" fillId="0" borderId="14" xfId="33" applyNumberFormat="1" applyFont="1" applyBorder="1" applyAlignment="1">
      <alignment vertical="center"/>
    </xf>
    <xf numFmtId="4" fontId="11" fillId="0" borderId="33" xfId="33" applyNumberFormat="1" applyFont="1" applyBorder="1" applyAlignment="1">
      <alignment vertical="center"/>
    </xf>
    <xf numFmtId="4" fontId="11" fillId="0" borderId="15" xfId="33" applyNumberFormat="1" applyFont="1" applyBorder="1" applyAlignment="1">
      <alignment vertical="center"/>
    </xf>
    <xf numFmtId="4" fontId="11" fillId="0" borderId="30" xfId="33" applyNumberFormat="1" applyFont="1" applyBorder="1" applyAlignment="1">
      <alignment vertical="center"/>
    </xf>
    <xf numFmtId="4" fontId="14" fillId="0" borderId="28" xfId="33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1" fillId="0" borderId="14" xfId="33" applyNumberFormat="1" applyFont="1" applyBorder="1" applyAlignment="1">
      <alignment vertical="center"/>
    </xf>
    <xf numFmtId="0" fontId="11" fillId="0" borderId="34" xfId="0" applyFont="1" applyBorder="1" applyAlignment="1" quotePrefix="1">
      <alignment horizontal="center" vertical="center"/>
    </xf>
    <xf numFmtId="4" fontId="14" fillId="0" borderId="35" xfId="33" applyNumberFormat="1" applyFont="1" applyBorder="1" applyAlignment="1">
      <alignment vertical="center"/>
    </xf>
    <xf numFmtId="4" fontId="14" fillId="0" borderId="36" xfId="33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7" fillId="0" borderId="37" xfId="33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" fontId="17" fillId="0" borderId="36" xfId="33" applyNumberFormat="1" applyFont="1" applyBorder="1" applyAlignment="1">
      <alignment vertical="center"/>
    </xf>
    <xf numFmtId="4" fontId="11" fillId="0" borderId="20" xfId="33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7" fillId="0" borderId="38" xfId="33" applyNumberFormat="1" applyFont="1" applyBorder="1" applyAlignment="1">
      <alignment vertical="center"/>
    </xf>
    <xf numFmtId="4" fontId="17" fillId="0" borderId="21" xfId="33" applyNumberFormat="1" applyFont="1" applyBorder="1" applyAlignment="1">
      <alignment vertical="center"/>
    </xf>
    <xf numFmtId="4" fontId="14" fillId="0" borderId="0" xfId="33" applyNumberFormat="1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4" fontId="11" fillId="0" borderId="38" xfId="33" applyNumberFormat="1" applyFont="1" applyBorder="1" applyAlignment="1">
      <alignment vertical="center"/>
    </xf>
    <xf numFmtId="4" fontId="11" fillId="0" borderId="20" xfId="33" applyNumberFormat="1" applyFont="1" applyBorder="1" applyAlignment="1">
      <alignment vertical="center"/>
    </xf>
    <xf numFmtId="231" fontId="5" fillId="0" borderId="0" xfId="33" applyFont="1" applyAlignment="1">
      <alignment horizontal="center" vertical="center"/>
    </xf>
    <xf numFmtId="231" fontId="5" fillId="0" borderId="16" xfId="33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231" fontId="5" fillId="0" borderId="26" xfId="33" applyFont="1" applyFill="1" applyBorder="1" applyAlignment="1">
      <alignment vertical="center"/>
    </xf>
    <xf numFmtId="231" fontId="5" fillId="0" borderId="27" xfId="33" applyFont="1" applyFill="1" applyBorder="1" applyAlignment="1">
      <alignment vertical="center"/>
    </xf>
    <xf numFmtId="231" fontId="5" fillId="0" borderId="0" xfId="33" applyFont="1" applyAlignment="1">
      <alignment horizontal="right" vertical="center"/>
    </xf>
    <xf numFmtId="4" fontId="11" fillId="0" borderId="14" xfId="33" applyNumberFormat="1" applyFont="1" applyFill="1" applyBorder="1" applyAlignment="1">
      <alignment vertical="center"/>
    </xf>
    <xf numFmtId="4" fontId="11" fillId="0" borderId="14" xfId="33" applyNumberFormat="1" applyFont="1" applyFill="1" applyBorder="1" applyAlignment="1">
      <alignment horizontal="right" vertical="center"/>
    </xf>
    <xf numFmtId="4" fontId="11" fillId="0" borderId="15" xfId="33" applyNumberFormat="1" applyFont="1" applyFill="1" applyBorder="1" applyAlignment="1">
      <alignment vertical="center"/>
    </xf>
    <xf numFmtId="0" fontId="11" fillId="0" borderId="23" xfId="0" applyFont="1" applyBorder="1" applyAlignment="1" quotePrefix="1">
      <alignment horizontal="center" vertical="center"/>
    </xf>
    <xf numFmtId="0" fontId="18" fillId="0" borderId="0" xfId="0" applyFont="1" applyAlignment="1">
      <alignment vertical="center"/>
    </xf>
    <xf numFmtId="231" fontId="28" fillId="0" borderId="0" xfId="33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31" fontId="2" fillId="0" borderId="20" xfId="33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31" fontId="1" fillId="0" borderId="20" xfId="33" applyFont="1" applyBorder="1" applyAlignment="1">
      <alignment horizontal="right" vertical="center"/>
    </xf>
    <xf numFmtId="231" fontId="1" fillId="0" borderId="20" xfId="33" applyFont="1" applyBorder="1" applyAlignment="1">
      <alignment vertical="center"/>
    </xf>
    <xf numFmtId="231" fontId="1" fillId="0" borderId="35" xfId="33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31" fontId="1" fillId="0" borderId="22" xfId="33" applyFont="1" applyBorder="1" applyAlignment="1">
      <alignment horizontal="right" vertical="center"/>
    </xf>
    <xf numFmtId="231" fontId="1" fillId="0" borderId="41" xfId="33" applyFont="1" applyBorder="1" applyAlignment="1">
      <alignment horizontal="right" vertical="center"/>
    </xf>
    <xf numFmtId="231" fontId="1" fillId="0" borderId="22" xfId="33" applyFont="1" applyFill="1" applyBorder="1" applyAlignment="1">
      <alignment vertical="center"/>
    </xf>
    <xf numFmtId="231" fontId="1" fillId="0" borderId="41" xfId="33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31" fontId="1" fillId="0" borderId="37" xfId="33" applyFont="1" applyBorder="1" applyAlignment="1">
      <alignment vertical="center"/>
    </xf>
    <xf numFmtId="231" fontId="1" fillId="0" borderId="42" xfId="33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9" fillId="0" borderId="14" xfId="0" applyFont="1" applyFill="1" applyBorder="1" applyAlignment="1">
      <alignment vertical="center"/>
    </xf>
    <xf numFmtId="4" fontId="14" fillId="0" borderId="24" xfId="33" applyNumberFormat="1" applyFont="1" applyBorder="1" applyAlignment="1">
      <alignment vertical="center"/>
    </xf>
    <xf numFmtId="4" fontId="11" fillId="0" borderId="45" xfId="33" applyNumberFormat="1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231" fontId="11" fillId="0" borderId="47" xfId="33" applyNumberFormat="1" applyFont="1" applyBorder="1" applyAlignment="1">
      <alignment vertical="center"/>
    </xf>
    <xf numFmtId="231" fontId="11" fillId="0" borderId="34" xfId="33" applyNumberFormat="1" applyFont="1" applyBorder="1" applyAlignment="1">
      <alignment vertical="center"/>
    </xf>
    <xf numFmtId="231" fontId="11" fillId="0" borderId="34" xfId="33" applyNumberFormat="1" applyFont="1" applyBorder="1" applyAlignment="1">
      <alignment horizontal="right" vertical="center"/>
    </xf>
    <xf numFmtId="231" fontId="11" fillId="0" borderId="34" xfId="33" applyFont="1" applyBorder="1" applyAlignment="1">
      <alignment horizontal="right" vertical="center"/>
    </xf>
    <xf numFmtId="4" fontId="11" fillId="0" borderId="47" xfId="33" applyNumberFormat="1" applyFont="1" applyBorder="1" applyAlignment="1">
      <alignment vertical="center"/>
    </xf>
    <xf numFmtId="4" fontId="11" fillId="0" borderId="34" xfId="33" applyNumberFormat="1" applyFont="1" applyBorder="1" applyAlignment="1">
      <alignment vertical="center"/>
    </xf>
    <xf numFmtId="4" fontId="11" fillId="0" borderId="48" xfId="33" applyNumberFormat="1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231" fontId="14" fillId="0" borderId="52" xfId="33" applyNumberFormat="1" applyFont="1" applyBorder="1" applyAlignment="1">
      <alignment vertical="center"/>
    </xf>
    <xf numFmtId="231" fontId="14" fillId="0" borderId="53" xfId="33" applyNumberFormat="1" applyFont="1" applyBorder="1" applyAlignment="1">
      <alignment vertical="center"/>
    </xf>
    <xf numFmtId="0" fontId="30" fillId="0" borderId="3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31" fontId="11" fillId="0" borderId="23" xfId="33" applyNumberFormat="1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231" fontId="5" fillId="0" borderId="54" xfId="33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3" fillId="0" borderId="14" xfId="0" applyFont="1" applyFill="1" applyBorder="1" applyAlignment="1">
      <alignment horizontal="right" vertical="center"/>
    </xf>
    <xf numFmtId="231" fontId="11" fillId="0" borderId="33" xfId="33" applyNumberFormat="1" applyFont="1" applyBorder="1" applyAlignment="1">
      <alignment horizontal="right" vertical="center"/>
    </xf>
    <xf numFmtId="231" fontId="11" fillId="0" borderId="48" xfId="33" applyNumberFormat="1" applyFont="1" applyBorder="1" applyAlignment="1">
      <alignment horizontal="right" vertical="center"/>
    </xf>
    <xf numFmtId="231" fontId="11" fillId="0" borderId="15" xfId="33" applyNumberFormat="1" applyFont="1" applyBorder="1" applyAlignment="1">
      <alignment vertical="center"/>
    </xf>
    <xf numFmtId="4" fontId="17" fillId="0" borderId="24" xfId="33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231" fontId="5" fillId="0" borderId="55" xfId="33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231" fontId="5" fillId="0" borderId="0" xfId="33" applyFont="1" applyBorder="1" applyAlignment="1">
      <alignment horizontal="right" vertical="center"/>
    </xf>
    <xf numFmtId="231" fontId="14" fillId="0" borderId="16" xfId="33" applyNumberFormat="1" applyFont="1" applyBorder="1" applyAlignment="1">
      <alignment vertical="center"/>
    </xf>
    <xf numFmtId="4" fontId="14" fillId="0" borderId="26" xfId="33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33" fontId="4" fillId="0" borderId="56" xfId="33" applyNumberFormat="1" applyFont="1" applyBorder="1" applyAlignment="1">
      <alignment vertical="center"/>
    </xf>
    <xf numFmtId="231" fontId="5" fillId="0" borderId="54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31" fontId="4" fillId="0" borderId="0" xfId="33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231" fontId="8" fillId="0" borderId="0" xfId="33" applyFont="1" applyAlignment="1">
      <alignment vertical="center"/>
    </xf>
    <xf numFmtId="231" fontId="5" fillId="0" borderId="0" xfId="33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231" fontId="11" fillId="0" borderId="16" xfId="33" applyNumberFormat="1" applyFont="1" applyBorder="1" applyAlignment="1">
      <alignment vertical="center"/>
    </xf>
    <xf numFmtId="231" fontId="14" fillId="0" borderId="28" xfId="33" applyNumberFormat="1" applyFont="1" applyBorder="1" applyAlignment="1">
      <alignment vertical="center"/>
    </xf>
    <xf numFmtId="4" fontId="14" fillId="0" borderId="29" xfId="33" applyNumberFormat="1" applyFont="1" applyBorder="1" applyAlignment="1">
      <alignment vertical="center"/>
    </xf>
    <xf numFmtId="4" fontId="14" fillId="0" borderId="58" xfId="33" applyNumberFormat="1" applyFont="1" applyBorder="1" applyAlignment="1">
      <alignment vertical="center"/>
    </xf>
    <xf numFmtId="4" fontId="14" fillId="0" borderId="59" xfId="33" applyNumberFormat="1" applyFont="1" applyBorder="1" applyAlignment="1">
      <alignment vertical="center"/>
    </xf>
    <xf numFmtId="4" fontId="14" fillId="0" borderId="28" xfId="33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31" fontId="1" fillId="0" borderId="0" xfId="33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4" fontId="14" fillId="0" borderId="0" xfId="33" applyNumberFormat="1" applyFont="1" applyBorder="1" applyAlignment="1">
      <alignment vertical="center"/>
    </xf>
    <xf numFmtId="231" fontId="2" fillId="0" borderId="60" xfId="0" applyNumberFormat="1" applyFont="1" applyBorder="1" applyAlignment="1">
      <alignment vertical="center"/>
    </xf>
    <xf numFmtId="231" fontId="2" fillId="0" borderId="6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31" fontId="14" fillId="0" borderId="58" xfId="33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231" fontId="14" fillId="0" borderId="50" xfId="33" applyNumberFormat="1" applyFont="1" applyBorder="1" applyAlignment="1">
      <alignment horizontal="right" vertical="center"/>
    </xf>
    <xf numFmtId="231" fontId="11" fillId="0" borderId="62" xfId="33" applyNumberFormat="1" applyFont="1" applyBorder="1" applyAlignment="1">
      <alignment horizontal="right" vertical="center"/>
    </xf>
    <xf numFmtId="231" fontId="11" fillId="0" borderId="63" xfId="33" applyNumberFormat="1" applyFont="1" applyBorder="1" applyAlignment="1">
      <alignment horizontal="right" vertical="center"/>
    </xf>
    <xf numFmtId="231" fontId="11" fillId="0" borderId="64" xfId="33" applyNumberFormat="1" applyFont="1" applyBorder="1" applyAlignment="1">
      <alignment vertical="center"/>
    </xf>
    <xf numFmtId="231" fontId="14" fillId="0" borderId="59" xfId="33" applyNumberFormat="1" applyFont="1" applyBorder="1" applyAlignment="1">
      <alignment horizontal="right" vertical="center"/>
    </xf>
    <xf numFmtId="4" fontId="11" fillId="0" borderId="65" xfId="33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231" fontId="14" fillId="0" borderId="63" xfId="33" applyNumberFormat="1" applyFont="1" applyBorder="1" applyAlignment="1">
      <alignment horizontal="right" vertical="center"/>
    </xf>
    <xf numFmtId="231" fontId="14" fillId="0" borderId="60" xfId="33" applyNumberFormat="1" applyFont="1" applyBorder="1" applyAlignment="1">
      <alignment horizontal="right" vertical="center"/>
    </xf>
    <xf numFmtId="0" fontId="11" fillId="0" borderId="66" xfId="0" applyFont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231" fontId="4" fillId="0" borderId="0" xfId="33" applyFont="1" applyBorder="1" applyAlignment="1">
      <alignment horizontal="right" vertical="center"/>
    </xf>
    <xf numFmtId="231" fontId="4" fillId="0" borderId="54" xfId="0" applyNumberFormat="1" applyFont="1" applyBorder="1" applyAlignment="1">
      <alignment horizontal="right" vertical="center"/>
    </xf>
    <xf numFmtId="0" fontId="24" fillId="0" borderId="0" xfId="50" applyFont="1" applyAlignment="1">
      <alignment horizontal="center" vertical="center"/>
      <protection/>
    </xf>
    <xf numFmtId="0" fontId="24" fillId="0" borderId="37" xfId="50" applyFont="1" applyBorder="1" applyAlignment="1">
      <alignment horizontal="right" vertical="center"/>
      <protection/>
    </xf>
    <xf numFmtId="49" fontId="37" fillId="0" borderId="31" xfId="50" applyNumberFormat="1" applyFont="1" applyBorder="1" applyAlignment="1">
      <alignment horizontal="center" vertical="center"/>
      <protection/>
    </xf>
    <xf numFmtId="49" fontId="40" fillId="0" borderId="42" xfId="50" applyNumberFormat="1" applyFont="1" applyBorder="1" applyAlignment="1">
      <alignment horizontal="center" vertical="center"/>
      <protection/>
    </xf>
    <xf numFmtId="49" fontId="37" fillId="0" borderId="37" xfId="50" applyNumberFormat="1" applyFont="1" applyBorder="1" applyAlignment="1">
      <alignment horizontal="center" vertical="center"/>
      <protection/>
    </xf>
    <xf numFmtId="49" fontId="39" fillId="0" borderId="31" xfId="50" applyNumberFormat="1" applyFont="1" applyBorder="1" applyAlignment="1">
      <alignment horizontal="center" vertical="center"/>
      <protection/>
    </xf>
    <xf numFmtId="0" fontId="24" fillId="0" borderId="22" xfId="50" applyFont="1" applyBorder="1" applyAlignment="1">
      <alignment horizontal="right" vertical="center"/>
      <protection/>
    </xf>
    <xf numFmtId="0" fontId="24" fillId="0" borderId="32" xfId="50" applyFont="1" applyBorder="1" applyAlignment="1">
      <alignment horizontal="right" vertical="center"/>
      <protection/>
    </xf>
    <xf numFmtId="49" fontId="37" fillId="0" borderId="67" xfId="50" applyNumberFormat="1" applyFont="1" applyBorder="1" applyAlignment="1">
      <alignment horizontal="center" vertical="center"/>
      <protection/>
    </xf>
    <xf numFmtId="49" fontId="37" fillId="0" borderId="46" xfId="50" applyNumberFormat="1" applyFont="1" applyBorder="1" applyAlignment="1">
      <alignment horizontal="center" vertical="center"/>
      <protection/>
    </xf>
    <xf numFmtId="49" fontId="37" fillId="0" borderId="21" xfId="50" applyNumberFormat="1" applyFont="1" applyBorder="1" applyAlignment="1">
      <alignment horizontal="center" vertical="center"/>
      <protection/>
    </xf>
    <xf numFmtId="49" fontId="39" fillId="0" borderId="37" xfId="50" applyNumberFormat="1" applyFont="1" applyBorder="1" applyAlignment="1">
      <alignment horizontal="center" vertical="center"/>
      <protection/>
    </xf>
    <xf numFmtId="49" fontId="39" fillId="0" borderId="20" xfId="50" applyNumberFormat="1" applyFont="1" applyBorder="1" applyAlignment="1">
      <alignment horizontal="center" vertical="center"/>
      <protection/>
    </xf>
    <xf numFmtId="49" fontId="41" fillId="0" borderId="20" xfId="50" applyNumberFormat="1" applyFont="1" applyBorder="1" applyAlignment="1">
      <alignment horizontal="center" vertical="center"/>
      <protection/>
    </xf>
    <xf numFmtId="0" fontId="24" fillId="0" borderId="67" xfId="50" applyFont="1" applyBorder="1" applyAlignment="1">
      <alignment horizontal="left" vertical="center"/>
      <protection/>
    </xf>
    <xf numFmtId="0" fontId="24" fillId="0" borderId="46" xfId="50" applyFont="1" applyBorder="1" applyAlignment="1">
      <alignment horizontal="left" vertical="center"/>
      <protection/>
    </xf>
    <xf numFmtId="49" fontId="39" fillId="0" borderId="21" xfId="50" applyNumberFormat="1" applyFont="1" applyBorder="1" applyAlignment="1">
      <alignment horizontal="center" vertical="center"/>
      <protection/>
    </xf>
    <xf numFmtId="0" fontId="27" fillId="0" borderId="67" xfId="50" applyFont="1" applyBorder="1" applyAlignment="1">
      <alignment vertical="center"/>
      <protection/>
    </xf>
    <xf numFmtId="0" fontId="36" fillId="0" borderId="46" xfId="50" applyFont="1" applyBorder="1" applyAlignment="1">
      <alignment vertical="center"/>
      <protection/>
    </xf>
    <xf numFmtId="0" fontId="34" fillId="0" borderId="21" xfId="50" applyFont="1" applyBorder="1" applyAlignment="1">
      <alignment vertical="center"/>
      <protection/>
    </xf>
    <xf numFmtId="0" fontId="34" fillId="0" borderId="21" xfId="50" applyFont="1" applyFill="1" applyBorder="1" applyAlignment="1">
      <alignment vertical="center"/>
      <protection/>
    </xf>
    <xf numFmtId="0" fontId="34" fillId="0" borderId="41" xfId="50" applyFont="1" applyBorder="1" applyAlignment="1">
      <alignment vertical="center"/>
      <protection/>
    </xf>
    <xf numFmtId="0" fontId="34" fillId="0" borderId="40" xfId="50" applyFont="1" applyBorder="1" applyAlignment="1">
      <alignment vertical="center"/>
      <protection/>
    </xf>
    <xf numFmtId="194" fontId="34" fillId="0" borderId="35" xfId="44" applyFont="1" applyBorder="1" applyAlignment="1">
      <alignment vertical="center"/>
    </xf>
    <xf numFmtId="194" fontId="34" fillId="0" borderId="35" xfId="44" applyFont="1" applyFill="1" applyBorder="1" applyAlignment="1">
      <alignment vertical="center"/>
    </xf>
    <xf numFmtId="0" fontId="27" fillId="0" borderId="41" xfId="50" applyFont="1" applyBorder="1" applyAlignment="1">
      <alignment vertical="center"/>
      <protection/>
    </xf>
    <xf numFmtId="0" fontId="27" fillId="0" borderId="68" xfId="50" applyFont="1" applyBorder="1" applyAlignment="1">
      <alignment vertical="center"/>
      <protection/>
    </xf>
    <xf numFmtId="0" fontId="34" fillId="0" borderId="59" xfId="50" applyFont="1" applyBorder="1" applyAlignment="1">
      <alignment vertical="center"/>
      <protection/>
    </xf>
    <xf numFmtId="194" fontId="34" fillId="0" borderId="28" xfId="44" applyFont="1" applyBorder="1" applyAlignment="1">
      <alignment vertical="center"/>
    </xf>
    <xf numFmtId="194" fontId="34" fillId="0" borderId="28" xfId="44" applyFont="1" applyFill="1" applyBorder="1" applyAlignment="1">
      <alignment vertical="center"/>
    </xf>
    <xf numFmtId="0" fontId="34" fillId="0" borderId="67" xfId="50" applyFont="1" applyBorder="1" applyAlignment="1">
      <alignment vertical="center"/>
      <protection/>
    </xf>
    <xf numFmtId="0" fontId="34" fillId="0" borderId="46" xfId="50" applyFont="1" applyBorder="1" applyAlignment="1">
      <alignment vertical="center"/>
      <protection/>
    </xf>
    <xf numFmtId="194" fontId="34" fillId="0" borderId="21" xfId="44" applyFont="1" applyBorder="1" applyAlignment="1">
      <alignment vertical="center"/>
    </xf>
    <xf numFmtId="194" fontId="34" fillId="0" borderId="35" xfId="50" applyNumberFormat="1" applyFont="1" applyBorder="1" applyAlignment="1">
      <alignment vertical="center"/>
      <protection/>
    </xf>
    <xf numFmtId="231" fontId="34" fillId="0" borderId="28" xfId="33" applyFont="1" applyBorder="1" applyAlignment="1">
      <alignment vertical="center"/>
    </xf>
    <xf numFmtId="49" fontId="39" fillId="0" borderId="35" xfId="50" applyNumberFormat="1" applyFont="1" applyBorder="1" applyAlignment="1">
      <alignment horizontal="center" vertical="center"/>
      <protection/>
    </xf>
    <xf numFmtId="49" fontId="39" fillId="0" borderId="40" xfId="50" applyNumberFormat="1" applyFont="1" applyBorder="1" applyAlignment="1">
      <alignment horizontal="center" vertical="center"/>
      <protection/>
    </xf>
    <xf numFmtId="0" fontId="34" fillId="0" borderId="57" xfId="50" applyFont="1" applyBorder="1" applyAlignment="1">
      <alignment vertical="center"/>
      <protection/>
    </xf>
    <xf numFmtId="194" fontId="34" fillId="0" borderId="57" xfId="44" applyFont="1" applyFill="1" applyBorder="1" applyAlignment="1">
      <alignment vertical="center"/>
    </xf>
    <xf numFmtId="194" fontId="34" fillId="0" borderId="57" xfId="44" applyFont="1" applyBorder="1" applyAlignment="1">
      <alignment vertical="center"/>
    </xf>
    <xf numFmtId="0" fontId="23" fillId="0" borderId="67" xfId="50" applyFont="1" applyBorder="1" applyAlignment="1">
      <alignment vertical="center"/>
      <protection/>
    </xf>
    <xf numFmtId="231" fontId="34" fillId="0" borderId="21" xfId="33" applyFont="1" applyBorder="1" applyAlignment="1">
      <alignment vertical="center"/>
    </xf>
    <xf numFmtId="43" fontId="34" fillId="0" borderId="21" xfId="50" applyNumberFormat="1" applyFont="1" applyBorder="1" applyAlignment="1">
      <alignment vertical="center"/>
      <protection/>
    </xf>
    <xf numFmtId="0" fontId="26" fillId="0" borderId="69" xfId="50" applyFont="1" applyBorder="1" applyAlignment="1">
      <alignment vertical="center"/>
      <protection/>
    </xf>
    <xf numFmtId="0" fontId="34" fillId="0" borderId="70" xfId="50" applyFont="1" applyBorder="1" applyAlignment="1">
      <alignment vertical="center"/>
      <protection/>
    </xf>
    <xf numFmtId="194" fontId="36" fillId="0" borderId="71" xfId="44" applyFont="1" applyBorder="1" applyAlignment="1">
      <alignment vertical="center"/>
    </xf>
    <xf numFmtId="0" fontId="27" fillId="0" borderId="68" xfId="50" applyFont="1" applyBorder="1" applyAlignment="1">
      <alignment horizontal="right" vertical="center"/>
      <protection/>
    </xf>
    <xf numFmtId="194" fontId="34" fillId="0" borderId="28" xfId="50" applyNumberFormat="1" applyFont="1" applyBorder="1" applyAlignment="1">
      <alignment vertical="center"/>
      <protection/>
    </xf>
    <xf numFmtId="231" fontId="34" fillId="0" borderId="35" xfId="33" applyFont="1" applyFill="1" applyBorder="1" applyAlignment="1">
      <alignment vertical="center"/>
    </xf>
    <xf numFmtId="0" fontId="27" fillId="0" borderId="57" xfId="50" applyFont="1" applyBorder="1" applyAlignment="1">
      <alignment horizontal="right" vertical="center"/>
      <protection/>
    </xf>
    <xf numFmtId="0" fontId="36" fillId="0" borderId="59" xfId="50" applyFont="1" applyBorder="1" applyAlignment="1">
      <alignment vertical="center"/>
      <protection/>
    </xf>
    <xf numFmtId="194" fontId="34" fillId="0" borderId="28" xfId="44" applyFont="1" applyFill="1" applyBorder="1" applyAlignment="1">
      <alignment vertical="center"/>
    </xf>
    <xf numFmtId="194" fontId="36" fillId="0" borderId="28" xfId="44" applyFont="1" applyFill="1" applyBorder="1" applyAlignment="1">
      <alignment vertical="center"/>
    </xf>
    <xf numFmtId="0" fontId="27" fillId="0" borderId="41" xfId="50" applyFont="1" applyBorder="1" applyAlignment="1">
      <alignment horizontal="right" vertical="center"/>
      <protection/>
    </xf>
    <xf numFmtId="0" fontId="36" fillId="0" borderId="40" xfId="50" applyFont="1" applyBorder="1" applyAlignment="1">
      <alignment vertical="center"/>
      <protection/>
    </xf>
    <xf numFmtId="194" fontId="36" fillId="0" borderId="28" xfId="44" applyFont="1" applyBorder="1" applyAlignment="1">
      <alignment vertical="center"/>
    </xf>
    <xf numFmtId="0" fontId="26" fillId="0" borderId="61" xfId="50" applyFont="1" applyBorder="1" applyAlignment="1">
      <alignment horizontal="right" vertical="center"/>
      <protection/>
    </xf>
    <xf numFmtId="0" fontId="36" fillId="0" borderId="44" xfId="50" applyFont="1" applyBorder="1" applyAlignment="1">
      <alignment vertical="center"/>
      <protection/>
    </xf>
    <xf numFmtId="194" fontId="36" fillId="0" borderId="64" xfId="44" applyFont="1" applyBorder="1" applyAlignment="1">
      <alignment vertical="center"/>
    </xf>
    <xf numFmtId="231" fontId="14" fillId="0" borderId="72" xfId="33" applyNumberFormat="1" applyFont="1" applyBorder="1" applyAlignment="1">
      <alignment horizontal="right" vertical="center"/>
    </xf>
    <xf numFmtId="231" fontId="14" fillId="0" borderId="64" xfId="33" applyNumberFormat="1" applyFont="1" applyBorder="1" applyAlignment="1">
      <alignment horizontal="right" vertical="center"/>
    </xf>
    <xf numFmtId="231" fontId="77" fillId="0" borderId="27" xfId="33" applyFont="1" applyFill="1" applyBorder="1" applyAlignment="1">
      <alignment vertical="center"/>
    </xf>
    <xf numFmtId="231" fontId="77" fillId="0" borderId="14" xfId="33" applyFont="1" applyFill="1" applyBorder="1" applyAlignment="1">
      <alignment vertical="center"/>
    </xf>
    <xf numFmtId="231" fontId="14" fillId="0" borderId="73" xfId="33" applyNumberFormat="1" applyFont="1" applyBorder="1" applyAlignment="1">
      <alignment horizontal="right" vertical="center"/>
    </xf>
    <xf numFmtId="4" fontId="11" fillId="0" borderId="74" xfId="33" applyNumberFormat="1" applyFont="1" applyBorder="1" applyAlignment="1">
      <alignment vertical="center"/>
    </xf>
    <xf numFmtId="4" fontId="11" fillId="0" borderId="75" xfId="33" applyNumberFormat="1" applyFont="1" applyBorder="1" applyAlignment="1">
      <alignment vertical="center"/>
    </xf>
    <xf numFmtId="4" fontId="11" fillId="0" borderId="76" xfId="33" applyNumberFormat="1" applyFont="1" applyBorder="1" applyAlignment="1">
      <alignment vertical="center"/>
    </xf>
    <xf numFmtId="4" fontId="11" fillId="0" borderId="77" xfId="33" applyNumberFormat="1" applyFont="1" applyBorder="1" applyAlignment="1">
      <alignment vertical="center"/>
    </xf>
    <xf numFmtId="4" fontId="11" fillId="0" borderId="78" xfId="33" applyNumberFormat="1" applyFont="1" applyBorder="1" applyAlignment="1">
      <alignment vertical="center"/>
    </xf>
    <xf numFmtId="4" fontId="11" fillId="0" borderId="79" xfId="33" applyNumberFormat="1" applyFont="1" applyBorder="1" applyAlignment="1">
      <alignment vertical="center"/>
    </xf>
    <xf numFmtId="0" fontId="11" fillId="0" borderId="80" xfId="0" applyFont="1" applyBorder="1" applyAlignment="1" quotePrefix="1">
      <alignment horizontal="center" vertical="center"/>
    </xf>
    <xf numFmtId="49" fontId="38" fillId="0" borderId="21" xfId="50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231" fontId="1" fillId="0" borderId="20" xfId="33" applyFont="1" applyBorder="1" applyAlignment="1">
      <alignment horizontal="right" vertical="center"/>
    </xf>
    <xf numFmtId="49" fontId="39" fillId="0" borderId="46" xfId="50" applyNumberFormat="1" applyFont="1" applyBorder="1" applyAlignment="1">
      <alignment horizontal="center" vertical="center"/>
      <protection/>
    </xf>
    <xf numFmtId="194" fontId="34" fillId="0" borderId="21" xfId="50" applyNumberFormat="1" applyFont="1" applyBorder="1" applyAlignment="1">
      <alignment horizontal="center" vertical="center"/>
      <protection/>
    </xf>
    <xf numFmtId="231" fontId="34" fillId="0" borderId="21" xfId="33" applyFont="1" applyBorder="1" applyAlignment="1">
      <alignment horizontal="center" vertical="center"/>
    </xf>
    <xf numFmtId="43" fontId="36" fillId="0" borderId="21" xfId="50" applyNumberFormat="1" applyFont="1" applyBorder="1" applyAlignment="1">
      <alignment horizontal="center" vertical="center"/>
      <protection/>
    </xf>
    <xf numFmtId="0" fontId="24" fillId="0" borderId="59" xfId="50" applyFont="1" applyBorder="1" applyAlignment="1">
      <alignment horizontal="left" vertical="center"/>
      <protection/>
    </xf>
    <xf numFmtId="194" fontId="34" fillId="0" borderId="28" xfId="50" applyNumberFormat="1" applyFont="1" applyBorder="1" applyAlignment="1">
      <alignment horizontal="center" vertical="center"/>
      <protection/>
    </xf>
    <xf numFmtId="49" fontId="39" fillId="0" borderId="28" xfId="50" applyNumberFormat="1" applyFont="1" applyBorder="1" applyAlignment="1">
      <alignment horizontal="center" vertical="center"/>
      <protection/>
    </xf>
    <xf numFmtId="231" fontId="34" fillId="0" borderId="28" xfId="33" applyFont="1" applyBorder="1" applyAlignment="1">
      <alignment horizontal="center" vertical="center"/>
    </xf>
    <xf numFmtId="43" fontId="34" fillId="0" borderId="28" xfId="50" applyNumberFormat="1" applyFont="1" applyBorder="1" applyAlignment="1">
      <alignment horizontal="center" vertical="center"/>
      <protection/>
    </xf>
    <xf numFmtId="194" fontId="38" fillId="0" borderId="28" xfId="50" applyNumberFormat="1" applyFont="1" applyBorder="1" applyAlignment="1">
      <alignment horizontal="center" vertical="center"/>
      <protection/>
    </xf>
    <xf numFmtId="0" fontId="27" fillId="0" borderId="57" xfId="50" applyFont="1" applyBorder="1" applyAlignment="1">
      <alignment vertical="center"/>
      <protection/>
    </xf>
    <xf numFmtId="0" fontId="27" fillId="0" borderId="68" xfId="50" applyFont="1" applyBorder="1" applyAlignment="1">
      <alignment horizontal="right" vertical="center"/>
      <protection/>
    </xf>
    <xf numFmtId="194" fontId="39" fillId="0" borderId="28" xfId="50" applyNumberFormat="1" applyFont="1" applyBorder="1" applyAlignment="1">
      <alignment horizontal="center" vertical="center"/>
      <protection/>
    </xf>
    <xf numFmtId="194" fontId="34" fillId="0" borderId="28" xfId="50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8" fillId="0" borderId="37" xfId="50" applyNumberFormat="1" applyFont="1" applyBorder="1" applyAlignment="1">
      <alignment horizontal="center" vertical="center"/>
      <protection/>
    </xf>
    <xf numFmtId="49" fontId="38" fillId="0" borderId="20" xfId="50" applyNumberFormat="1" applyFont="1" applyBorder="1" applyAlignment="1">
      <alignment horizontal="center" vertical="center"/>
      <protection/>
    </xf>
    <xf numFmtId="49" fontId="38" fillId="0" borderId="21" xfId="50" applyNumberFormat="1" applyFont="1" applyBorder="1" applyAlignment="1">
      <alignment horizontal="center" vertical="center"/>
      <protection/>
    </xf>
    <xf numFmtId="49" fontId="39" fillId="0" borderId="67" xfId="50" applyNumberFormat="1" applyFont="1" applyBorder="1" applyAlignment="1">
      <alignment horizontal="center" vertical="center"/>
      <protection/>
    </xf>
    <xf numFmtId="49" fontId="39" fillId="0" borderId="46" xfId="50" applyNumberFormat="1" applyFont="1" applyBorder="1" applyAlignment="1">
      <alignment horizontal="center" vertical="center"/>
      <protection/>
    </xf>
    <xf numFmtId="49" fontId="39" fillId="0" borderId="57" xfId="50" applyNumberFormat="1" applyFont="1" applyBorder="1" applyAlignment="1">
      <alignment horizontal="center" vertical="center"/>
      <protection/>
    </xf>
    <xf numFmtId="49" fontId="39" fillId="0" borderId="42" xfId="50" applyNumberFormat="1" applyFont="1" applyBorder="1" applyAlignment="1">
      <alignment horizontal="center" vertical="center"/>
      <protection/>
    </xf>
    <xf numFmtId="49" fontId="39" fillId="0" borderId="31" xfId="50" applyNumberFormat="1" applyFont="1" applyBorder="1" applyAlignment="1">
      <alignment horizontal="center" vertical="center"/>
      <protection/>
    </xf>
    <xf numFmtId="49" fontId="39" fillId="0" borderId="87" xfId="50" applyNumberFormat="1" applyFont="1" applyBorder="1" applyAlignment="1">
      <alignment horizontal="center" vertical="center"/>
      <protection/>
    </xf>
    <xf numFmtId="49" fontId="37" fillId="0" borderId="67" xfId="50" applyNumberFormat="1" applyFont="1" applyBorder="1" applyAlignment="1">
      <alignment horizontal="center" vertical="center"/>
      <protection/>
    </xf>
    <xf numFmtId="49" fontId="37" fillId="0" borderId="46" xfId="50" applyNumberFormat="1" applyFont="1" applyBorder="1" applyAlignment="1">
      <alignment horizontal="center" vertical="center"/>
      <protection/>
    </xf>
    <xf numFmtId="49" fontId="37" fillId="0" borderId="57" xfId="50" applyNumberFormat="1" applyFont="1" applyBorder="1" applyAlignment="1">
      <alignment horizontal="center" vertical="center"/>
      <protection/>
    </xf>
    <xf numFmtId="49" fontId="37" fillId="0" borderId="42" xfId="50" applyNumberFormat="1" applyFont="1" applyBorder="1" applyAlignment="1">
      <alignment horizontal="center" vertical="center"/>
      <protection/>
    </xf>
    <xf numFmtId="49" fontId="37" fillId="0" borderId="31" xfId="50" applyNumberFormat="1" applyFont="1" applyBorder="1" applyAlignment="1">
      <alignment horizontal="center" vertical="center"/>
      <protection/>
    </xf>
    <xf numFmtId="49" fontId="37" fillId="0" borderId="87" xfId="50" applyNumberFormat="1" applyFont="1" applyBorder="1" applyAlignment="1">
      <alignment horizontal="center" vertical="center"/>
      <protection/>
    </xf>
    <xf numFmtId="0" fontId="24" fillId="0" borderId="0" xfId="50" applyFont="1" applyAlignment="1">
      <alignment horizontal="center" vertical="center"/>
      <protection/>
    </xf>
    <xf numFmtId="0" fontId="26" fillId="0" borderId="0" xfId="50" applyFont="1" applyBorder="1" applyAlignment="1">
      <alignment horizontal="right" vertical="center"/>
      <protection/>
    </xf>
    <xf numFmtId="0" fontId="36" fillId="0" borderId="0" xfId="50" applyFont="1" applyBorder="1" applyAlignment="1">
      <alignment vertical="center"/>
      <protection/>
    </xf>
    <xf numFmtId="194" fontId="36" fillId="0" borderId="0" xfId="44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vertical="center"/>
    </xf>
    <xf numFmtId="194" fontId="34" fillId="0" borderId="35" xfId="0" applyNumberFormat="1" applyFont="1" applyBorder="1" applyAlignment="1">
      <alignment vertical="center"/>
    </xf>
    <xf numFmtId="194" fontId="34" fillId="0" borderId="28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9525</xdr:colOff>
      <xdr:row>9</xdr:row>
      <xdr:rowOff>0</xdr:rowOff>
    </xdr:to>
    <xdr:sp>
      <xdr:nvSpPr>
        <xdr:cNvPr id="1" name="Line 272"/>
        <xdr:cNvSpPr>
          <a:spLocks/>
        </xdr:cNvSpPr>
      </xdr:nvSpPr>
      <xdr:spPr>
        <a:xfrm>
          <a:off x="0" y="561975"/>
          <a:ext cx="19907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2" name="Line 355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2</xdr:col>
      <xdr:colOff>9525</xdr:colOff>
      <xdr:row>41</xdr:row>
      <xdr:rowOff>209550</xdr:rowOff>
    </xdr:to>
    <xdr:sp>
      <xdr:nvSpPr>
        <xdr:cNvPr id="3" name="Line 366"/>
        <xdr:cNvSpPr>
          <a:spLocks/>
        </xdr:cNvSpPr>
      </xdr:nvSpPr>
      <xdr:spPr>
        <a:xfrm>
          <a:off x="19050" y="7124700"/>
          <a:ext cx="19716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72</xdr:row>
      <xdr:rowOff>28575</xdr:rowOff>
    </xdr:from>
    <xdr:to>
      <xdr:col>1</xdr:col>
      <xdr:colOff>400050</xdr:colOff>
      <xdr:row>78</xdr:row>
      <xdr:rowOff>0</xdr:rowOff>
    </xdr:to>
    <xdr:sp>
      <xdr:nvSpPr>
        <xdr:cNvPr id="4" name="Line 367"/>
        <xdr:cNvSpPr>
          <a:spLocks/>
        </xdr:cNvSpPr>
      </xdr:nvSpPr>
      <xdr:spPr>
        <a:xfrm>
          <a:off x="28575" y="14192250"/>
          <a:ext cx="18669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9525</xdr:rowOff>
    </xdr:from>
    <xdr:to>
      <xdr:col>2</xdr:col>
      <xdr:colOff>0</xdr:colOff>
      <xdr:row>114</xdr:row>
      <xdr:rowOff>257175</xdr:rowOff>
    </xdr:to>
    <xdr:sp>
      <xdr:nvSpPr>
        <xdr:cNvPr id="5" name="Line 368"/>
        <xdr:cNvSpPr>
          <a:spLocks/>
        </xdr:cNvSpPr>
      </xdr:nvSpPr>
      <xdr:spPr>
        <a:xfrm>
          <a:off x="19050" y="21526500"/>
          <a:ext cx="19621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6" name="Line 573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7" name="Line 675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8" name="Line 2581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9" name="Line 5913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0" name="Line 5917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1" name="Line 5919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2" name="Line 5920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3" name="Line 5921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4" name="Line 5913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5" name="Line 5917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6" name="Line 5919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7" name="Line 5920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8" name="Line 5921"/>
        <xdr:cNvSpPr>
          <a:spLocks/>
        </xdr:cNvSpPr>
      </xdr:nvSpPr>
      <xdr:spPr>
        <a:xfrm>
          <a:off x="28575" y="16735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19" name="Line 1675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20" name="Line 1688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21" name="Line 1701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22" name="Line 1714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23" name="Line 1727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24" name="Line 2024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25" name="Line 2037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26" name="Line 2050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27" name="Line 2163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28" name="Line 2176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29" name="Line 2289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30" name="Line 2583"/>
        <xdr:cNvSpPr>
          <a:spLocks/>
        </xdr:cNvSpPr>
      </xdr:nvSpPr>
      <xdr:spPr>
        <a:xfrm>
          <a:off x="19050" y="530352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323850</xdr:colOff>
      <xdr:row>254</xdr:row>
      <xdr:rowOff>0</xdr:rowOff>
    </xdr:to>
    <xdr:sp>
      <xdr:nvSpPr>
        <xdr:cNvPr id="31" name="Line 2590"/>
        <xdr:cNvSpPr>
          <a:spLocks/>
        </xdr:cNvSpPr>
      </xdr:nvSpPr>
      <xdr:spPr>
        <a:xfrm>
          <a:off x="28575" y="530352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32" name="Line 5900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33" name="Line 5901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34" name="Line 5902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35" name="Line 5903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36" name="Line 5904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37" name="Line 5905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38" name="Line 5906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39" name="Line 5907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40" name="Line 5909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41" name="Line 5910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42" name="Line 5911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43" name="Line 5914"/>
        <xdr:cNvSpPr>
          <a:spLocks/>
        </xdr:cNvSpPr>
      </xdr:nvSpPr>
      <xdr:spPr>
        <a:xfrm>
          <a:off x="19050" y="530352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323850</xdr:colOff>
      <xdr:row>254</xdr:row>
      <xdr:rowOff>0</xdr:rowOff>
    </xdr:to>
    <xdr:sp>
      <xdr:nvSpPr>
        <xdr:cNvPr id="44" name="Line 5916"/>
        <xdr:cNvSpPr>
          <a:spLocks/>
        </xdr:cNvSpPr>
      </xdr:nvSpPr>
      <xdr:spPr>
        <a:xfrm>
          <a:off x="28575" y="530352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45" name="Line 5922"/>
        <xdr:cNvSpPr>
          <a:spLocks/>
        </xdr:cNvSpPr>
      </xdr:nvSpPr>
      <xdr:spPr>
        <a:xfrm>
          <a:off x="19050" y="48891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323850</xdr:colOff>
      <xdr:row>234</xdr:row>
      <xdr:rowOff>0</xdr:rowOff>
    </xdr:to>
    <xdr:sp>
      <xdr:nvSpPr>
        <xdr:cNvPr id="46" name="Line 5923"/>
        <xdr:cNvSpPr>
          <a:spLocks/>
        </xdr:cNvSpPr>
      </xdr:nvSpPr>
      <xdr:spPr>
        <a:xfrm>
          <a:off x="28575" y="488918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47" name="Line 5924"/>
        <xdr:cNvSpPr>
          <a:spLocks/>
        </xdr:cNvSpPr>
      </xdr:nvSpPr>
      <xdr:spPr>
        <a:xfrm>
          <a:off x="19050" y="48891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323850</xdr:colOff>
      <xdr:row>234</xdr:row>
      <xdr:rowOff>0</xdr:rowOff>
    </xdr:to>
    <xdr:sp>
      <xdr:nvSpPr>
        <xdr:cNvPr id="48" name="Line 5925"/>
        <xdr:cNvSpPr>
          <a:spLocks/>
        </xdr:cNvSpPr>
      </xdr:nvSpPr>
      <xdr:spPr>
        <a:xfrm>
          <a:off x="28575" y="488918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49" name="Line 5926"/>
        <xdr:cNvSpPr>
          <a:spLocks/>
        </xdr:cNvSpPr>
      </xdr:nvSpPr>
      <xdr:spPr>
        <a:xfrm>
          <a:off x="19050" y="490918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140</xdr:row>
      <xdr:rowOff>9525</xdr:rowOff>
    </xdr:from>
    <xdr:to>
      <xdr:col>2</xdr:col>
      <xdr:colOff>0</xdr:colOff>
      <xdr:row>145</xdr:row>
      <xdr:rowOff>247650</xdr:rowOff>
    </xdr:to>
    <xdr:sp>
      <xdr:nvSpPr>
        <xdr:cNvPr id="50" name="Line 5927"/>
        <xdr:cNvSpPr>
          <a:spLocks/>
        </xdr:cNvSpPr>
      </xdr:nvSpPr>
      <xdr:spPr>
        <a:xfrm>
          <a:off x="9525" y="29203650"/>
          <a:ext cx="19716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262</xdr:row>
      <xdr:rowOff>0</xdr:rowOff>
    </xdr:from>
    <xdr:to>
      <xdr:col>1</xdr:col>
      <xdr:colOff>361950</xdr:colOff>
      <xdr:row>262</xdr:row>
      <xdr:rowOff>0</xdr:rowOff>
    </xdr:to>
    <xdr:sp>
      <xdr:nvSpPr>
        <xdr:cNvPr id="51" name="Line 5928"/>
        <xdr:cNvSpPr>
          <a:spLocks/>
        </xdr:cNvSpPr>
      </xdr:nvSpPr>
      <xdr:spPr>
        <a:xfrm>
          <a:off x="9525" y="547116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218</xdr:row>
      <xdr:rowOff>0</xdr:rowOff>
    </xdr:from>
    <xdr:to>
      <xdr:col>2</xdr:col>
      <xdr:colOff>0</xdr:colOff>
      <xdr:row>218</xdr:row>
      <xdr:rowOff>0</xdr:rowOff>
    </xdr:to>
    <xdr:sp>
      <xdr:nvSpPr>
        <xdr:cNvPr id="52" name="Line 5929"/>
        <xdr:cNvSpPr>
          <a:spLocks/>
        </xdr:cNvSpPr>
      </xdr:nvSpPr>
      <xdr:spPr>
        <a:xfrm>
          <a:off x="19050" y="456914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171</xdr:row>
      <xdr:rowOff>19050</xdr:rowOff>
    </xdr:from>
    <xdr:to>
      <xdr:col>2</xdr:col>
      <xdr:colOff>0</xdr:colOff>
      <xdr:row>176</xdr:row>
      <xdr:rowOff>209550</xdr:rowOff>
    </xdr:to>
    <xdr:sp>
      <xdr:nvSpPr>
        <xdr:cNvPr id="53" name="Line 5930"/>
        <xdr:cNvSpPr>
          <a:spLocks/>
        </xdr:cNvSpPr>
      </xdr:nvSpPr>
      <xdr:spPr>
        <a:xfrm>
          <a:off x="28575" y="35699700"/>
          <a:ext cx="19526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205</xdr:row>
      <xdr:rowOff>28575</xdr:rowOff>
    </xdr:from>
    <xdr:to>
      <xdr:col>2</xdr:col>
      <xdr:colOff>0</xdr:colOff>
      <xdr:row>211</xdr:row>
      <xdr:rowOff>0</xdr:rowOff>
    </xdr:to>
    <xdr:sp>
      <xdr:nvSpPr>
        <xdr:cNvPr id="54" name="Line 5931"/>
        <xdr:cNvSpPr>
          <a:spLocks/>
        </xdr:cNvSpPr>
      </xdr:nvSpPr>
      <xdr:spPr>
        <a:xfrm>
          <a:off x="19050" y="42833925"/>
          <a:ext cx="19621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240</xdr:row>
      <xdr:rowOff>9525</xdr:rowOff>
    </xdr:from>
    <xdr:to>
      <xdr:col>2</xdr:col>
      <xdr:colOff>0</xdr:colOff>
      <xdr:row>246</xdr:row>
      <xdr:rowOff>9525</xdr:rowOff>
    </xdr:to>
    <xdr:sp>
      <xdr:nvSpPr>
        <xdr:cNvPr id="55" name="Line 5932"/>
        <xdr:cNvSpPr>
          <a:spLocks/>
        </xdr:cNvSpPr>
      </xdr:nvSpPr>
      <xdr:spPr>
        <a:xfrm>
          <a:off x="28575" y="50111025"/>
          <a:ext cx="19526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218</xdr:row>
      <xdr:rowOff>0</xdr:rowOff>
    </xdr:from>
    <xdr:to>
      <xdr:col>1</xdr:col>
      <xdr:colOff>323850</xdr:colOff>
      <xdr:row>218</xdr:row>
      <xdr:rowOff>0</xdr:rowOff>
    </xdr:to>
    <xdr:sp>
      <xdr:nvSpPr>
        <xdr:cNvPr id="56" name="Line 5933"/>
        <xdr:cNvSpPr>
          <a:spLocks/>
        </xdr:cNvSpPr>
      </xdr:nvSpPr>
      <xdr:spPr>
        <a:xfrm>
          <a:off x="28575" y="45691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57" name="Line 5900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58" name="Line 5901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59" name="Line 5902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60" name="Line 5903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61" name="Line 5904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62" name="Line 5905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63" name="Line 5906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64" name="Line 5907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65" name="Line 5909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66" name="Line 5910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2</xdr:col>
      <xdr:colOff>0</xdr:colOff>
      <xdr:row>153</xdr:row>
      <xdr:rowOff>0</xdr:rowOff>
    </xdr:to>
    <xdr:sp>
      <xdr:nvSpPr>
        <xdr:cNvPr id="67" name="Line 5911"/>
        <xdr:cNvSpPr>
          <a:spLocks/>
        </xdr:cNvSpPr>
      </xdr:nvSpPr>
      <xdr:spPr>
        <a:xfrm>
          <a:off x="9525" y="32080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68" name="Line 5914"/>
        <xdr:cNvSpPr>
          <a:spLocks/>
        </xdr:cNvSpPr>
      </xdr:nvSpPr>
      <xdr:spPr>
        <a:xfrm>
          <a:off x="19050" y="530352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323850</xdr:colOff>
      <xdr:row>254</xdr:row>
      <xdr:rowOff>0</xdr:rowOff>
    </xdr:to>
    <xdr:sp>
      <xdr:nvSpPr>
        <xdr:cNvPr id="69" name="Line 5916"/>
        <xdr:cNvSpPr>
          <a:spLocks/>
        </xdr:cNvSpPr>
      </xdr:nvSpPr>
      <xdr:spPr>
        <a:xfrm>
          <a:off x="28575" y="530352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70" name="Line 5922"/>
        <xdr:cNvSpPr>
          <a:spLocks/>
        </xdr:cNvSpPr>
      </xdr:nvSpPr>
      <xdr:spPr>
        <a:xfrm>
          <a:off x="19050" y="48891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323850</xdr:colOff>
      <xdr:row>234</xdr:row>
      <xdr:rowOff>0</xdr:rowOff>
    </xdr:to>
    <xdr:sp>
      <xdr:nvSpPr>
        <xdr:cNvPr id="71" name="Line 5923"/>
        <xdr:cNvSpPr>
          <a:spLocks/>
        </xdr:cNvSpPr>
      </xdr:nvSpPr>
      <xdr:spPr>
        <a:xfrm>
          <a:off x="28575" y="488918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72" name="Line 5924"/>
        <xdr:cNvSpPr>
          <a:spLocks/>
        </xdr:cNvSpPr>
      </xdr:nvSpPr>
      <xdr:spPr>
        <a:xfrm>
          <a:off x="19050" y="48891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323850</xdr:colOff>
      <xdr:row>234</xdr:row>
      <xdr:rowOff>0</xdr:rowOff>
    </xdr:to>
    <xdr:sp>
      <xdr:nvSpPr>
        <xdr:cNvPr id="73" name="Line 5925"/>
        <xdr:cNvSpPr>
          <a:spLocks/>
        </xdr:cNvSpPr>
      </xdr:nvSpPr>
      <xdr:spPr>
        <a:xfrm>
          <a:off x="28575" y="488918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74" name="Line 5926"/>
        <xdr:cNvSpPr>
          <a:spLocks/>
        </xdr:cNvSpPr>
      </xdr:nvSpPr>
      <xdr:spPr>
        <a:xfrm>
          <a:off x="19050" y="490918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262</xdr:row>
      <xdr:rowOff>0</xdr:rowOff>
    </xdr:from>
    <xdr:to>
      <xdr:col>1</xdr:col>
      <xdr:colOff>361950</xdr:colOff>
      <xdr:row>262</xdr:row>
      <xdr:rowOff>0</xdr:rowOff>
    </xdr:to>
    <xdr:sp>
      <xdr:nvSpPr>
        <xdr:cNvPr id="75" name="Line 5928"/>
        <xdr:cNvSpPr>
          <a:spLocks/>
        </xdr:cNvSpPr>
      </xdr:nvSpPr>
      <xdr:spPr>
        <a:xfrm>
          <a:off x="9525" y="547116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218</xdr:row>
      <xdr:rowOff>0</xdr:rowOff>
    </xdr:from>
    <xdr:to>
      <xdr:col>2</xdr:col>
      <xdr:colOff>0</xdr:colOff>
      <xdr:row>218</xdr:row>
      <xdr:rowOff>0</xdr:rowOff>
    </xdr:to>
    <xdr:sp>
      <xdr:nvSpPr>
        <xdr:cNvPr id="76" name="Line 5929"/>
        <xdr:cNvSpPr>
          <a:spLocks/>
        </xdr:cNvSpPr>
      </xdr:nvSpPr>
      <xdr:spPr>
        <a:xfrm>
          <a:off x="19050" y="456914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218</xdr:row>
      <xdr:rowOff>0</xdr:rowOff>
    </xdr:from>
    <xdr:to>
      <xdr:col>1</xdr:col>
      <xdr:colOff>323850</xdr:colOff>
      <xdr:row>218</xdr:row>
      <xdr:rowOff>0</xdr:rowOff>
    </xdr:to>
    <xdr:sp>
      <xdr:nvSpPr>
        <xdr:cNvPr id="77" name="Line 5933"/>
        <xdr:cNvSpPr>
          <a:spLocks/>
        </xdr:cNvSpPr>
      </xdr:nvSpPr>
      <xdr:spPr>
        <a:xfrm>
          <a:off x="28575" y="45691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278</xdr:row>
      <xdr:rowOff>0</xdr:rowOff>
    </xdr:from>
    <xdr:to>
      <xdr:col>1</xdr:col>
      <xdr:colOff>361950</xdr:colOff>
      <xdr:row>278</xdr:row>
      <xdr:rowOff>0</xdr:rowOff>
    </xdr:to>
    <xdr:sp>
      <xdr:nvSpPr>
        <xdr:cNvPr id="78" name="Line 2171"/>
        <xdr:cNvSpPr>
          <a:spLocks/>
        </xdr:cNvSpPr>
      </xdr:nvSpPr>
      <xdr:spPr>
        <a:xfrm>
          <a:off x="9525" y="585787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278</xdr:row>
      <xdr:rowOff>28575</xdr:rowOff>
    </xdr:from>
    <xdr:to>
      <xdr:col>1</xdr:col>
      <xdr:colOff>476250</xdr:colOff>
      <xdr:row>283</xdr:row>
      <xdr:rowOff>285750</xdr:rowOff>
    </xdr:to>
    <xdr:sp>
      <xdr:nvSpPr>
        <xdr:cNvPr id="79" name="Line 2179"/>
        <xdr:cNvSpPr>
          <a:spLocks/>
        </xdr:cNvSpPr>
      </xdr:nvSpPr>
      <xdr:spPr>
        <a:xfrm>
          <a:off x="19050" y="58607325"/>
          <a:ext cx="19526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8">
      <selection activeCell="H14" sqref="H14"/>
    </sheetView>
  </sheetViews>
  <sheetFormatPr defaultColWidth="9.140625" defaultRowHeight="21.75"/>
  <cols>
    <col min="1" max="1" width="55.421875" style="1" customWidth="1"/>
    <col min="2" max="2" width="11.57421875" style="1" customWidth="1"/>
    <col min="3" max="4" width="18.7109375" style="1" customWidth="1"/>
    <col min="5" max="16384" width="9.140625" style="1" customWidth="1"/>
  </cols>
  <sheetData>
    <row r="1" spans="1:4" ht="21" customHeight="1">
      <c r="A1" s="294" t="s">
        <v>0</v>
      </c>
      <c r="B1" s="294"/>
      <c r="C1" s="294"/>
      <c r="D1" s="294"/>
    </row>
    <row r="2" spans="1:4" ht="24" customHeight="1">
      <c r="A2" s="295" t="s">
        <v>51</v>
      </c>
      <c r="B2" s="295"/>
      <c r="C2" s="295"/>
      <c r="D2" s="295"/>
    </row>
    <row r="3" spans="1:4" ht="21" customHeight="1">
      <c r="A3" s="295" t="s">
        <v>201</v>
      </c>
      <c r="B3" s="295"/>
      <c r="C3" s="295"/>
      <c r="D3" s="295"/>
    </row>
    <row r="4" spans="1:4" ht="22.5" customHeight="1">
      <c r="A4" s="295" t="s">
        <v>397</v>
      </c>
      <c r="B4" s="295"/>
      <c r="C4" s="295"/>
      <c r="D4" s="295"/>
    </row>
    <row r="5" spans="1:4" ht="22.5" customHeight="1" thickBot="1">
      <c r="A5" s="296"/>
      <c r="B5" s="296"/>
      <c r="C5" s="296"/>
      <c r="D5" s="296"/>
    </row>
    <row r="6" spans="1:4" ht="22.5" customHeight="1" thickBot="1">
      <c r="A6" s="3" t="s">
        <v>110</v>
      </c>
      <c r="B6" s="4" t="s">
        <v>35</v>
      </c>
      <c r="C6" s="8" t="s">
        <v>177</v>
      </c>
      <c r="D6" s="9" t="s">
        <v>36</v>
      </c>
    </row>
    <row r="7" spans="1:4" ht="22.5" customHeight="1" hidden="1">
      <c r="A7" s="82" t="s">
        <v>37</v>
      </c>
      <c r="B7" s="178">
        <v>11011000</v>
      </c>
      <c r="C7" s="154">
        <f>100+10-110</f>
        <v>0</v>
      </c>
      <c r="D7" s="155"/>
    </row>
    <row r="8" spans="1:4" ht="22.5" customHeight="1">
      <c r="A8" s="15" t="s">
        <v>216</v>
      </c>
      <c r="B8" s="178">
        <v>11012001</v>
      </c>
      <c r="C8" s="86">
        <v>5279802.19</v>
      </c>
      <c r="D8" s="87"/>
    </row>
    <row r="9" spans="1:4" ht="22.5" customHeight="1">
      <c r="A9" s="15" t="s">
        <v>377</v>
      </c>
      <c r="B9" s="179">
        <v>11012001</v>
      </c>
      <c r="C9" s="30">
        <v>98982.23</v>
      </c>
      <c r="D9" s="88"/>
    </row>
    <row r="10" spans="1:4" ht="22.5" customHeight="1">
      <c r="A10" s="15" t="s">
        <v>217</v>
      </c>
      <c r="B10" s="180">
        <v>11012001</v>
      </c>
      <c r="C10" s="31">
        <v>52146366.46</v>
      </c>
      <c r="D10" s="89"/>
    </row>
    <row r="11" spans="1:4" ht="22.5" customHeight="1">
      <c r="A11" s="15" t="s">
        <v>60</v>
      </c>
      <c r="B11" s="180">
        <v>11012001</v>
      </c>
      <c r="C11" s="31">
        <v>1852526.34</v>
      </c>
      <c r="D11" s="89"/>
    </row>
    <row r="12" spans="1:4" ht="22.5" customHeight="1">
      <c r="A12" s="15" t="s">
        <v>89</v>
      </c>
      <c r="B12" s="180">
        <v>11012001</v>
      </c>
      <c r="C12" s="31">
        <v>199959.29</v>
      </c>
      <c r="D12" s="89"/>
    </row>
    <row r="13" spans="1:4" ht="22.5" customHeight="1">
      <c r="A13" s="15" t="s">
        <v>61</v>
      </c>
      <c r="B13" s="180">
        <v>11012002</v>
      </c>
      <c r="C13" s="31">
        <v>13656298.64</v>
      </c>
      <c r="D13" s="89"/>
    </row>
    <row r="14" spans="1:4" ht="22.5" customHeight="1">
      <c r="A14" s="15" t="s">
        <v>62</v>
      </c>
      <c r="B14" s="180">
        <v>11012002</v>
      </c>
      <c r="C14" s="31">
        <v>19682623.09</v>
      </c>
      <c r="D14" s="89"/>
    </row>
    <row r="15" spans="1:4" ht="22.5" customHeight="1">
      <c r="A15" s="15" t="s">
        <v>63</v>
      </c>
      <c r="B15" s="180">
        <v>11032000</v>
      </c>
      <c r="C15" s="31">
        <f>6464951.78+1674593.91</f>
        <v>8139545.69</v>
      </c>
      <c r="D15" s="89"/>
    </row>
    <row r="16" spans="1:4" ht="22.5" customHeight="1">
      <c r="A16" s="15" t="s">
        <v>64</v>
      </c>
      <c r="B16" s="180">
        <v>11041000</v>
      </c>
      <c r="C16" s="31">
        <v>100228</v>
      </c>
      <c r="D16" s="89"/>
    </row>
    <row r="17" spans="1:4" ht="22.5" customHeight="1" hidden="1">
      <c r="A17" s="15" t="s">
        <v>85</v>
      </c>
      <c r="B17" s="180">
        <v>11042000</v>
      </c>
      <c r="C17" s="31">
        <v>1116000</v>
      </c>
      <c r="D17" s="89"/>
    </row>
    <row r="18" spans="1:4" ht="22.5" customHeight="1">
      <c r="A18" s="15" t="s">
        <v>7</v>
      </c>
      <c r="B18" s="180">
        <v>11043002</v>
      </c>
      <c r="C18" s="31">
        <v>26542.05</v>
      </c>
      <c r="D18" s="267"/>
    </row>
    <row r="19" spans="1:4" ht="22.5" customHeight="1" hidden="1">
      <c r="A19" s="15" t="s">
        <v>375</v>
      </c>
      <c r="B19" s="180">
        <v>11044000</v>
      </c>
      <c r="C19" s="31">
        <v>0</v>
      </c>
      <c r="D19" s="267"/>
    </row>
    <row r="20" spans="1:4" ht="22.5" customHeight="1" hidden="1">
      <c r="A20" s="15" t="s">
        <v>202</v>
      </c>
      <c r="B20" s="180">
        <v>11069999</v>
      </c>
      <c r="C20" s="31">
        <v>0</v>
      </c>
      <c r="D20" s="267"/>
    </row>
    <row r="21" spans="1:4" ht="22.5" customHeight="1" hidden="1">
      <c r="A21" s="15" t="s">
        <v>97</v>
      </c>
      <c r="B21" s="180">
        <v>19040000</v>
      </c>
      <c r="C21" s="31">
        <v>0</v>
      </c>
      <c r="D21" s="267"/>
    </row>
    <row r="22" spans="1:4" ht="22.5" customHeight="1">
      <c r="A22" s="15" t="s">
        <v>381</v>
      </c>
      <c r="B22" s="180">
        <v>19010000</v>
      </c>
      <c r="C22" s="268"/>
      <c r="D22" s="89">
        <v>47793345.28</v>
      </c>
    </row>
    <row r="23" spans="1:4" ht="22.5" customHeight="1">
      <c r="A23" s="15" t="s">
        <v>65</v>
      </c>
      <c r="B23" s="180">
        <v>21010000</v>
      </c>
      <c r="C23" s="268"/>
      <c r="D23" s="89">
        <v>1620000</v>
      </c>
    </row>
    <row r="24" spans="1:4" ht="22.5" customHeight="1">
      <c r="A24" s="15" t="s">
        <v>66</v>
      </c>
      <c r="B24" s="180">
        <v>21040000</v>
      </c>
      <c r="C24" s="268"/>
      <c r="D24" s="89">
        <v>1153722.47</v>
      </c>
    </row>
    <row r="25" spans="1:4" ht="22.5" customHeight="1" hidden="1">
      <c r="A25" s="15" t="s">
        <v>78</v>
      </c>
      <c r="B25" s="180">
        <v>29010000</v>
      </c>
      <c r="C25" s="268"/>
      <c r="D25" s="89">
        <v>0</v>
      </c>
    </row>
    <row r="26" spans="1:4" ht="22.5" customHeight="1">
      <c r="A26" s="15" t="s">
        <v>106</v>
      </c>
      <c r="B26" s="180">
        <v>31000000</v>
      </c>
      <c r="C26" s="268"/>
      <c r="D26" s="89">
        <v>42488306.9</v>
      </c>
    </row>
    <row r="27" spans="1:4" ht="22.5" customHeight="1">
      <c r="A27" s="15" t="s">
        <v>82</v>
      </c>
      <c r="B27" s="180">
        <v>32000000</v>
      </c>
      <c r="C27" s="268"/>
      <c r="D27" s="89">
        <v>32846426.81</v>
      </c>
    </row>
    <row r="28" spans="1:4" ht="22.5" customHeight="1">
      <c r="A28" s="15" t="s">
        <v>157</v>
      </c>
      <c r="B28" s="180">
        <v>51100000</v>
      </c>
      <c r="C28" s="31">
        <v>9988168.91</v>
      </c>
      <c r="D28" s="267"/>
    </row>
    <row r="29" spans="1:4" ht="22.5" customHeight="1">
      <c r="A29" s="15" t="s">
        <v>118</v>
      </c>
      <c r="B29" s="180">
        <v>52100000</v>
      </c>
      <c r="C29" s="31">
        <v>1226750</v>
      </c>
      <c r="D29" s="267"/>
    </row>
    <row r="30" spans="1:4" ht="22.5" customHeight="1">
      <c r="A30" s="15" t="s">
        <v>119</v>
      </c>
      <c r="B30" s="181">
        <v>52200000</v>
      </c>
      <c r="C30" s="31">
        <v>6470548.29</v>
      </c>
      <c r="D30" s="267"/>
    </row>
    <row r="31" spans="1:4" ht="22.5" customHeight="1">
      <c r="A31" s="15" t="s">
        <v>99</v>
      </c>
      <c r="B31" s="181">
        <v>53100000</v>
      </c>
      <c r="C31" s="31">
        <v>152300</v>
      </c>
      <c r="D31" s="267"/>
    </row>
    <row r="32" spans="1:4" ht="22.5" customHeight="1">
      <c r="A32" s="15" t="s">
        <v>100</v>
      </c>
      <c r="B32" s="181">
        <v>53200000</v>
      </c>
      <c r="C32" s="31">
        <v>1901042.53</v>
      </c>
      <c r="D32" s="267"/>
    </row>
    <row r="33" spans="1:4" ht="22.5" customHeight="1">
      <c r="A33" s="15" t="s">
        <v>102</v>
      </c>
      <c r="B33" s="181">
        <v>53300000</v>
      </c>
      <c r="C33" s="31">
        <v>783908.75</v>
      </c>
      <c r="D33" s="267"/>
    </row>
    <row r="34" spans="1:4" ht="22.5" customHeight="1">
      <c r="A34" s="15" t="s">
        <v>103</v>
      </c>
      <c r="B34" s="181">
        <v>53400000</v>
      </c>
      <c r="C34" s="31">
        <v>356121.31</v>
      </c>
      <c r="D34" s="267"/>
    </row>
    <row r="35" spans="1:4" ht="22.5" customHeight="1">
      <c r="A35" s="15" t="s">
        <v>169</v>
      </c>
      <c r="B35" s="181">
        <v>54100000</v>
      </c>
      <c r="C35" s="31">
        <v>751087.69</v>
      </c>
      <c r="D35" s="267"/>
    </row>
    <row r="36" spans="1:4" ht="24" customHeight="1">
      <c r="A36" s="15" t="s">
        <v>378</v>
      </c>
      <c r="B36" s="181">
        <v>54100000</v>
      </c>
      <c r="C36" s="31">
        <v>30000</v>
      </c>
      <c r="D36" s="267"/>
    </row>
    <row r="37" spans="1:4" ht="21" customHeight="1" hidden="1">
      <c r="A37" s="15" t="s">
        <v>170</v>
      </c>
      <c r="B37" s="181">
        <v>54200000</v>
      </c>
      <c r="C37" s="31">
        <v>0</v>
      </c>
      <c r="D37" s="267"/>
    </row>
    <row r="38" spans="1:4" ht="21" customHeight="1">
      <c r="A38" s="15" t="s">
        <v>382</v>
      </c>
      <c r="B38" s="181">
        <v>54200000</v>
      </c>
      <c r="C38" s="31">
        <v>621000</v>
      </c>
      <c r="D38" s="267"/>
    </row>
    <row r="39" spans="1:4" ht="21" customHeight="1" thickBot="1">
      <c r="A39" s="15" t="s">
        <v>104</v>
      </c>
      <c r="B39" s="181">
        <v>56100000</v>
      </c>
      <c r="C39" s="31">
        <v>1322000</v>
      </c>
      <c r="D39" s="267"/>
    </row>
    <row r="40" spans="1:4" ht="21" customHeight="1" thickBot="1">
      <c r="A40" s="297" t="s">
        <v>53</v>
      </c>
      <c r="B40" s="298"/>
      <c r="C40" s="160">
        <f>SUM(C7:C39)</f>
        <v>125901801.46000001</v>
      </c>
      <c r="D40" s="16">
        <f>SUM(D7:D39)</f>
        <v>125901801.46000001</v>
      </c>
    </row>
    <row r="41" spans="1:4" ht="21" customHeight="1">
      <c r="A41" s="159"/>
      <c r="B41" s="159"/>
      <c r="C41" s="17"/>
      <c r="D41" s="17"/>
    </row>
    <row r="42" spans="1:4" ht="21" customHeight="1">
      <c r="A42" s="159"/>
      <c r="B42" s="159"/>
      <c r="C42" s="17"/>
      <c r="D42" s="17"/>
    </row>
    <row r="43" spans="1:4" ht="21" customHeight="1">
      <c r="A43" s="159"/>
      <c r="B43" s="159"/>
      <c r="C43" s="17"/>
      <c r="D43" s="17"/>
    </row>
    <row r="44" spans="1:4" ht="21" customHeight="1">
      <c r="A44" s="159"/>
      <c r="B44" s="159"/>
      <c r="C44" s="17"/>
      <c r="D44" s="17"/>
    </row>
    <row r="45" spans="1:4" ht="21" customHeight="1">
      <c r="A45" s="300" t="s">
        <v>98</v>
      </c>
      <c r="B45" s="300"/>
      <c r="C45" s="300"/>
      <c r="D45" s="300"/>
    </row>
    <row r="46" spans="1:4" ht="21" customHeight="1">
      <c r="A46" s="299" t="s">
        <v>166</v>
      </c>
      <c r="B46" s="299"/>
      <c r="C46" s="299"/>
      <c r="D46" s="299"/>
    </row>
    <row r="47" spans="1:4" ht="22.5">
      <c r="A47" s="159"/>
      <c r="B47" s="159"/>
      <c r="C47" s="159"/>
      <c r="D47" s="159"/>
    </row>
  </sheetData>
  <sheetProtection/>
  <mergeCells count="8">
    <mergeCell ref="A46:D46"/>
    <mergeCell ref="A45:D45"/>
    <mergeCell ref="A1:D1"/>
    <mergeCell ref="A2:D2"/>
    <mergeCell ref="A3:D3"/>
    <mergeCell ref="A4:D4"/>
    <mergeCell ref="A5:D5"/>
    <mergeCell ref="A40:B40"/>
  </mergeCells>
  <printOptions/>
  <pageMargins left="0.61" right="0.11811023622047245" top="0.15748031496062992" bottom="0.24" header="0.196850393700787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0"/>
  <sheetViews>
    <sheetView view="pageBreakPreview" zoomScaleSheetLayoutView="100" zoomScalePageLayoutView="0" workbookViewId="0" topLeftCell="A23">
      <selection activeCell="D39" sqref="D39"/>
    </sheetView>
  </sheetViews>
  <sheetFormatPr defaultColWidth="9.140625" defaultRowHeight="21.75"/>
  <cols>
    <col min="1" max="1" width="9.00390625" style="1" customWidth="1"/>
    <col min="2" max="2" width="51.00390625" style="1" customWidth="1"/>
    <col min="3" max="3" width="23.57421875" style="1" customWidth="1"/>
    <col min="4" max="4" width="20.28125" style="2" customWidth="1"/>
    <col min="5" max="16384" width="9.140625" style="1" customWidth="1"/>
  </cols>
  <sheetData>
    <row r="1" ht="22.5" customHeight="1"/>
    <row r="2" spans="1:4" ht="24" customHeight="1">
      <c r="A2" s="295" t="s">
        <v>0</v>
      </c>
      <c r="B2" s="295"/>
      <c r="C2" s="295"/>
      <c r="D2" s="295"/>
    </row>
    <row r="3" spans="1:4" ht="24" customHeight="1">
      <c r="A3" s="301" t="s">
        <v>199</v>
      </c>
      <c r="B3" s="301"/>
      <c r="C3" s="301"/>
      <c r="D3" s="301"/>
    </row>
    <row r="4" spans="1:4" ht="24" customHeight="1">
      <c r="A4" s="301" t="s">
        <v>398</v>
      </c>
      <c r="B4" s="301"/>
      <c r="C4" s="301"/>
      <c r="D4" s="301"/>
    </row>
    <row r="5" spans="1:4" ht="21" customHeight="1">
      <c r="A5" s="21"/>
      <c r="B5" s="21"/>
      <c r="C5" s="21"/>
      <c r="D5" s="21"/>
    </row>
    <row r="6" spans="1:4" ht="21" customHeight="1">
      <c r="A6" s="153" t="s">
        <v>156</v>
      </c>
      <c r="B6" s="21"/>
      <c r="C6" s="21"/>
      <c r="D6" s="21"/>
    </row>
    <row r="7" spans="1:4" ht="18" customHeight="1">
      <c r="A7" s="21"/>
      <c r="B7" s="21"/>
      <c r="C7" s="21"/>
      <c r="D7" s="204" t="s">
        <v>171</v>
      </c>
    </row>
    <row r="8" spans="1:4" ht="21" customHeight="1">
      <c r="A8" s="21"/>
      <c r="B8" s="21"/>
      <c r="C8" s="21"/>
      <c r="D8" s="204"/>
    </row>
    <row r="9" spans="1:4" ht="21" customHeight="1">
      <c r="A9" s="21"/>
      <c r="B9" s="20" t="s">
        <v>86</v>
      </c>
      <c r="C9" s="21"/>
      <c r="D9" s="90">
        <v>1116000</v>
      </c>
    </row>
    <row r="10" spans="1:4" ht="21" customHeight="1">
      <c r="A10" s="21"/>
      <c r="B10" s="20" t="s">
        <v>87</v>
      </c>
      <c r="C10" s="21"/>
      <c r="D10" s="21"/>
    </row>
    <row r="11" spans="1:4" ht="21" customHeight="1" thickBot="1">
      <c r="A11" s="21"/>
      <c r="B11" s="21"/>
      <c r="C11" s="21"/>
      <c r="D11" s="205">
        <f>SUM(D9:D10)</f>
        <v>1116000</v>
      </c>
    </row>
    <row r="12" spans="1:4" ht="21" customHeight="1" thickTop="1">
      <c r="A12" s="21"/>
      <c r="B12" s="21"/>
      <c r="C12" s="21"/>
      <c r="D12" s="21"/>
    </row>
    <row r="13" spans="1:4" ht="19.5" customHeight="1">
      <c r="A13" s="162" t="s">
        <v>154</v>
      </c>
      <c r="B13" s="20"/>
      <c r="C13" s="21"/>
      <c r="D13" s="85"/>
    </row>
    <row r="14" spans="1:4" ht="21" customHeight="1">
      <c r="A14" s="163" t="s">
        <v>211</v>
      </c>
      <c r="B14" s="20"/>
      <c r="C14" s="21"/>
      <c r="D14" s="164" t="s">
        <v>171</v>
      </c>
    </row>
    <row r="15" spans="1:4" ht="21" customHeight="1">
      <c r="A15" s="163" t="s">
        <v>99</v>
      </c>
      <c r="B15" s="20"/>
      <c r="C15" s="166"/>
      <c r="D15" s="156"/>
    </row>
    <row r="16" spans="1:4" ht="18.75" customHeight="1">
      <c r="A16" s="163"/>
      <c r="B16" s="20" t="s">
        <v>203</v>
      </c>
      <c r="C16" s="166"/>
      <c r="D16" s="156">
        <v>4000</v>
      </c>
    </row>
    <row r="17" spans="1:4" ht="21" customHeight="1" thickBot="1">
      <c r="A17" s="163"/>
      <c r="B17" s="20"/>
      <c r="C17" s="166" t="s">
        <v>53</v>
      </c>
      <c r="D17" s="146">
        <f>SUM(D16)</f>
        <v>4000</v>
      </c>
    </row>
    <row r="18" spans="1:4" ht="21" customHeight="1" thickTop="1">
      <c r="A18" s="165" t="s">
        <v>170</v>
      </c>
      <c r="B18" s="166"/>
      <c r="C18" s="166"/>
      <c r="D18" s="156"/>
    </row>
    <row r="19" spans="1:4" ht="21" customHeight="1">
      <c r="A19" s="165"/>
      <c r="B19" s="166" t="s">
        <v>77</v>
      </c>
      <c r="C19" s="166"/>
      <c r="D19" s="156">
        <v>1116000</v>
      </c>
    </row>
    <row r="20" spans="1:4" ht="21" customHeight="1">
      <c r="A20" s="165"/>
      <c r="B20" s="166" t="s">
        <v>160</v>
      </c>
      <c r="C20" s="166"/>
      <c r="D20" s="156">
        <v>500000</v>
      </c>
    </row>
    <row r="21" spans="1:4" ht="21" customHeight="1" thickBot="1">
      <c r="A21" s="165"/>
      <c r="B21" s="166"/>
      <c r="C21" s="166" t="s">
        <v>53</v>
      </c>
      <c r="D21" s="146">
        <f>SUM(D19:D20)</f>
        <v>1616000</v>
      </c>
    </row>
    <row r="22" spans="1:4" ht="21" customHeight="1" thickTop="1">
      <c r="A22" s="165"/>
      <c r="B22" s="166"/>
      <c r="C22" s="166"/>
      <c r="D22" s="156"/>
    </row>
    <row r="23" spans="1:4" ht="21" customHeight="1">
      <c r="A23" s="162" t="s">
        <v>155</v>
      </c>
      <c r="B23" s="20"/>
      <c r="C23" s="21"/>
      <c r="D23" s="85"/>
    </row>
    <row r="24" spans="1:4" ht="21" customHeight="1">
      <c r="A24" s="163"/>
      <c r="B24" s="20"/>
      <c r="C24" s="21"/>
      <c r="D24" s="164" t="s">
        <v>171</v>
      </c>
    </row>
    <row r="25" spans="1:4" ht="19.5" customHeight="1">
      <c r="A25" s="163"/>
      <c r="B25" s="20"/>
      <c r="C25" s="21"/>
      <c r="D25" s="164"/>
    </row>
    <row r="26" spans="1:4" ht="21" customHeight="1">
      <c r="A26" s="6"/>
      <c r="B26" s="20" t="s">
        <v>8</v>
      </c>
      <c r="C26" s="21"/>
      <c r="D26" s="90">
        <v>9353.5</v>
      </c>
    </row>
    <row r="27" spans="1:4" ht="21" customHeight="1">
      <c r="A27" s="6"/>
      <c r="B27" s="20" t="s">
        <v>52</v>
      </c>
      <c r="C27" s="21"/>
      <c r="D27" s="90">
        <v>106467.45</v>
      </c>
    </row>
    <row r="28" spans="1:4" ht="16.5" customHeight="1" hidden="1">
      <c r="A28" s="6"/>
      <c r="B28" s="20" t="s">
        <v>25</v>
      </c>
      <c r="C28" s="21"/>
      <c r="D28" s="90"/>
    </row>
    <row r="29" spans="1:4" ht="21" customHeight="1">
      <c r="A29" s="6"/>
      <c r="B29" s="20" t="s">
        <v>58</v>
      </c>
      <c r="C29" s="21"/>
      <c r="D29" s="90">
        <v>738960</v>
      </c>
    </row>
    <row r="30" spans="1:4" ht="21" customHeight="1" hidden="1">
      <c r="A30" s="6"/>
      <c r="B30" s="20" t="s">
        <v>141</v>
      </c>
      <c r="C30" s="21"/>
      <c r="D30" s="90">
        <v>0</v>
      </c>
    </row>
    <row r="31" spans="1:4" ht="21" customHeight="1" hidden="1">
      <c r="A31" s="6"/>
      <c r="B31" s="20" t="s">
        <v>71</v>
      </c>
      <c r="C31" s="21"/>
      <c r="D31" s="90"/>
    </row>
    <row r="32" spans="1:4" ht="21" customHeight="1" hidden="1">
      <c r="A32" s="6"/>
      <c r="B32" s="20" t="s">
        <v>224</v>
      </c>
      <c r="C32" s="21"/>
      <c r="D32" s="90"/>
    </row>
    <row r="33" spans="1:4" ht="21" customHeight="1" hidden="1">
      <c r="A33" s="6"/>
      <c r="B33" s="20" t="s">
        <v>226</v>
      </c>
      <c r="C33" s="21"/>
      <c r="D33" s="90"/>
    </row>
    <row r="34" spans="1:4" ht="21" customHeight="1" hidden="1">
      <c r="A34" s="6"/>
      <c r="B34" s="20" t="s">
        <v>186</v>
      </c>
      <c r="C34" s="21"/>
      <c r="D34" s="90"/>
    </row>
    <row r="35" spans="1:4" ht="21" customHeight="1">
      <c r="A35" s="6"/>
      <c r="B35" s="20" t="s">
        <v>90</v>
      </c>
      <c r="C35" s="21"/>
      <c r="D35" s="90">
        <v>199959.29</v>
      </c>
    </row>
    <row r="36" spans="1:4" ht="21" customHeight="1">
      <c r="A36" s="6"/>
      <c r="B36" s="20" t="s">
        <v>121</v>
      </c>
      <c r="C36" s="21"/>
      <c r="D36" s="90">
        <v>98982.23</v>
      </c>
    </row>
    <row r="37" spans="1:4" ht="21" customHeight="1" hidden="1">
      <c r="A37" s="6"/>
      <c r="B37" s="20" t="s">
        <v>399</v>
      </c>
      <c r="C37" s="21"/>
      <c r="D37" s="90">
        <v>0</v>
      </c>
    </row>
    <row r="38" spans="1:4" ht="21" customHeight="1" hidden="1">
      <c r="A38" s="6"/>
      <c r="B38" s="20" t="s">
        <v>152</v>
      </c>
      <c r="C38" s="21"/>
      <c r="D38" s="90">
        <v>0</v>
      </c>
    </row>
    <row r="39" spans="1:4" ht="21" customHeight="1" thickBot="1">
      <c r="A39" s="6"/>
      <c r="B39" s="20"/>
      <c r="C39" s="6" t="s">
        <v>53</v>
      </c>
      <c r="D39" s="146">
        <f>SUM(D26:D38)</f>
        <v>1153722.47</v>
      </c>
    </row>
    <row r="40" spans="1:4" ht="21" customHeight="1" thickTop="1">
      <c r="A40" s="165"/>
      <c r="B40" s="166"/>
      <c r="C40" s="166"/>
      <c r="D40" s="156"/>
    </row>
    <row r="41" spans="1:4" ht="21" customHeight="1">
      <c r="A41" s="21"/>
      <c r="B41" s="21"/>
      <c r="C41" s="21"/>
      <c r="D41" s="21"/>
    </row>
    <row r="42" spans="1:4" ht="21" customHeight="1">
      <c r="A42" s="21"/>
      <c r="B42" s="21"/>
      <c r="C42" s="21"/>
      <c r="D42" s="21"/>
    </row>
    <row r="43" spans="1:4" ht="21" customHeight="1">
      <c r="A43" s="21"/>
      <c r="B43" s="21"/>
      <c r="C43" s="21"/>
      <c r="D43" s="21"/>
    </row>
    <row r="44" spans="1:4" ht="21" customHeight="1">
      <c r="A44" s="21"/>
      <c r="B44" s="21"/>
      <c r="C44" s="21"/>
      <c r="D44" s="21"/>
    </row>
    <row r="45" spans="1:4" ht="21" customHeight="1">
      <c r="A45" s="21"/>
      <c r="B45" s="21"/>
      <c r="C45" s="21"/>
      <c r="D45" s="21"/>
    </row>
    <row r="46" spans="1:4" ht="21" customHeight="1">
      <c r="A46" s="21"/>
      <c r="B46" s="21"/>
      <c r="C46" s="21"/>
      <c r="D46" s="21"/>
    </row>
    <row r="47" spans="1:4" ht="21" customHeight="1">
      <c r="A47" s="21"/>
      <c r="B47" s="21"/>
      <c r="C47" s="21"/>
      <c r="D47" s="21"/>
    </row>
    <row r="48" spans="1:4" ht="21" customHeight="1">
      <c r="A48" s="21"/>
      <c r="B48" s="21"/>
      <c r="C48" s="21"/>
      <c r="D48" s="21"/>
    </row>
    <row r="49" spans="1:4" ht="21" customHeight="1">
      <c r="A49" s="21"/>
      <c r="B49" s="21"/>
      <c r="C49" s="21"/>
      <c r="D49" s="21"/>
    </row>
    <row r="50" spans="1:4" ht="21.75" customHeight="1">
      <c r="A50" s="21"/>
      <c r="B50" s="21"/>
      <c r="C50" s="21"/>
      <c r="D50" s="21"/>
    </row>
    <row r="51" spans="1:4" ht="21.75" customHeight="1">
      <c r="A51" s="300" t="s">
        <v>165</v>
      </c>
      <c r="B51" s="300"/>
      <c r="C51" s="300"/>
      <c r="D51" s="300"/>
    </row>
    <row r="52" spans="1:4" ht="21.75" customHeight="1">
      <c r="A52" s="299" t="s">
        <v>166</v>
      </c>
      <c r="B52" s="299"/>
      <c r="C52" s="299"/>
      <c r="D52" s="299"/>
    </row>
    <row r="53" spans="1:4" ht="21.75" customHeight="1">
      <c r="A53" s="6"/>
      <c r="B53" s="20"/>
      <c r="C53" s="6"/>
      <c r="D53" s="156"/>
    </row>
    <row r="54" spans="1:4" ht="21.75" customHeight="1">
      <c r="A54" s="6"/>
      <c r="B54" s="20"/>
      <c r="C54" s="6"/>
      <c r="D54" s="156"/>
    </row>
    <row r="55" spans="1:4" ht="21.75" customHeight="1">
      <c r="A55" s="6"/>
      <c r="B55" s="20"/>
      <c r="C55" s="6"/>
      <c r="D55" s="156"/>
    </row>
    <row r="56" spans="1:4" ht="21.75" customHeight="1">
      <c r="A56" s="6"/>
      <c r="B56" s="20"/>
      <c r="C56" s="6"/>
      <c r="D56" s="156"/>
    </row>
    <row r="57" spans="1:4" ht="21.75" customHeight="1">
      <c r="A57" s="6"/>
      <c r="B57" s="20"/>
      <c r="C57" s="6"/>
      <c r="D57" s="156"/>
    </row>
    <row r="58" spans="1:4" ht="21.75" customHeight="1">
      <c r="A58" s="6"/>
      <c r="B58" s="20"/>
      <c r="C58" s="6"/>
      <c r="D58" s="156"/>
    </row>
    <row r="59" spans="1:4" ht="21.75" customHeight="1">
      <c r="A59" s="6"/>
      <c r="B59" s="20"/>
      <c r="C59" s="6"/>
      <c r="D59" s="156"/>
    </row>
    <row r="60" spans="1:4" ht="21.75" customHeight="1">
      <c r="A60" s="6"/>
      <c r="B60" s="20"/>
      <c r="C60" s="6"/>
      <c r="D60" s="156"/>
    </row>
    <row r="61" spans="1:4" ht="21.75" customHeight="1">
      <c r="A61" s="6"/>
      <c r="B61" s="20"/>
      <c r="C61" s="6"/>
      <c r="D61" s="156"/>
    </row>
    <row r="62" spans="1:4" ht="21.75" customHeight="1">
      <c r="A62" s="6"/>
      <c r="B62" s="20"/>
      <c r="C62" s="6"/>
      <c r="D62" s="156"/>
    </row>
    <row r="63" spans="1:4" ht="21.75" customHeight="1">
      <c r="A63" s="6"/>
      <c r="B63" s="20"/>
      <c r="C63" s="6"/>
      <c r="D63" s="156"/>
    </row>
    <row r="64" spans="1:4" ht="21.75" customHeight="1">
      <c r="A64" s="6"/>
      <c r="B64" s="20"/>
      <c r="C64" s="6"/>
      <c r="D64" s="156"/>
    </row>
    <row r="65" spans="1:4" ht="21.75" customHeight="1">
      <c r="A65" s="6"/>
      <c r="B65" s="20"/>
      <c r="C65" s="6"/>
      <c r="D65" s="156"/>
    </row>
    <row r="66" spans="1:4" ht="21.75" customHeight="1">
      <c r="A66" s="6"/>
      <c r="B66" s="20"/>
      <c r="C66" s="6"/>
      <c r="D66" s="156"/>
    </row>
    <row r="67" spans="1:4" ht="10.5" customHeight="1">
      <c r="A67" s="159"/>
      <c r="B67" s="159"/>
      <c r="C67" s="159"/>
      <c r="D67" s="159"/>
    </row>
    <row r="68" spans="1:4" ht="19.5" customHeight="1" hidden="1">
      <c r="A68" s="162" t="s">
        <v>222</v>
      </c>
      <c r="B68" s="6"/>
      <c r="C68" s="6"/>
      <c r="D68" s="18"/>
    </row>
    <row r="69" spans="1:4" ht="19.5" customHeight="1" hidden="1">
      <c r="A69" s="163"/>
      <c r="B69" s="6"/>
      <c r="C69" s="6"/>
      <c r="D69" s="164" t="s">
        <v>171</v>
      </c>
    </row>
    <row r="70" spans="1:4" ht="19.5" customHeight="1" hidden="1">
      <c r="A70" s="163"/>
      <c r="B70" s="20" t="s">
        <v>130</v>
      </c>
      <c r="C70" s="6"/>
      <c r="D70" s="18">
        <f>32726+2660</f>
        <v>35386</v>
      </c>
    </row>
    <row r="71" spans="1:4" ht="19.5" customHeight="1" hidden="1">
      <c r="A71" s="163"/>
      <c r="B71" s="20" t="s">
        <v>6</v>
      </c>
      <c r="C71" s="6"/>
      <c r="D71" s="18">
        <v>10689000</v>
      </c>
    </row>
    <row r="72" spans="1:4" ht="19.5" customHeight="1" hidden="1">
      <c r="A72" s="163"/>
      <c r="B72" s="20" t="s">
        <v>224</v>
      </c>
      <c r="C72" s="6"/>
      <c r="D72" s="18">
        <v>1413600</v>
      </c>
    </row>
    <row r="73" spans="1:4" ht="19.5" customHeight="1" hidden="1" thickBot="1">
      <c r="A73" s="163"/>
      <c r="B73" s="6"/>
      <c r="C73" s="6" t="s">
        <v>53</v>
      </c>
      <c r="D73" s="161">
        <f>SUM(D70:D72)</f>
        <v>12137986</v>
      </c>
    </row>
    <row r="74" spans="1:4" ht="18.75" customHeight="1" hidden="1" thickTop="1">
      <c r="A74" s="163"/>
      <c r="B74" s="6"/>
      <c r="C74" s="6"/>
      <c r="D74" s="168"/>
    </row>
    <row r="75" spans="1:4" ht="18.75" customHeight="1" hidden="1">
      <c r="A75" s="159"/>
      <c r="B75" s="159"/>
      <c r="C75" s="159"/>
      <c r="D75" s="159"/>
    </row>
    <row r="76" spans="1:4" ht="19.5" customHeight="1" hidden="1">
      <c r="A76" s="162" t="s">
        <v>17</v>
      </c>
      <c r="B76" s="6"/>
      <c r="C76" s="6"/>
      <c r="D76" s="167"/>
    </row>
    <row r="77" spans="1:4" ht="19.5" customHeight="1" hidden="1">
      <c r="A77" s="163"/>
      <c r="B77" s="6"/>
      <c r="C77" s="6"/>
      <c r="D77" s="164" t="s">
        <v>171</v>
      </c>
    </row>
    <row r="78" spans="1:4" ht="19.5" customHeight="1" hidden="1">
      <c r="A78" s="163"/>
      <c r="B78" s="20" t="s">
        <v>129</v>
      </c>
      <c r="C78" s="6"/>
      <c r="D78" s="18">
        <v>1543200</v>
      </c>
    </row>
    <row r="79" spans="1:4" ht="19.5" customHeight="1" hidden="1">
      <c r="A79" s="163"/>
      <c r="B79" s="20" t="s">
        <v>223</v>
      </c>
      <c r="C79" s="6"/>
      <c r="D79" s="18">
        <f>569230+53200</f>
        <v>622430</v>
      </c>
    </row>
    <row r="80" spans="1:4" ht="19.5" customHeight="1" hidden="1">
      <c r="A80" s="6"/>
      <c r="B80" s="20" t="s">
        <v>231</v>
      </c>
      <c r="C80" s="6"/>
      <c r="D80" s="18">
        <v>85200</v>
      </c>
    </row>
    <row r="81" spans="1:4" ht="19.5" customHeight="1" hidden="1" thickBot="1">
      <c r="A81" s="6"/>
      <c r="B81" s="20"/>
      <c r="C81" s="6" t="s">
        <v>53</v>
      </c>
      <c r="D81" s="161">
        <f>SUM(D78:D80)</f>
        <v>2250830</v>
      </c>
    </row>
    <row r="82" spans="1:4" ht="18.75" customHeight="1" hidden="1" thickTop="1">
      <c r="A82" s="6"/>
      <c r="B82" s="20"/>
      <c r="C82" s="6"/>
      <c r="D82" s="168"/>
    </row>
    <row r="83" spans="1:4" ht="18.75" customHeight="1" hidden="1">
      <c r="A83" s="6"/>
      <c r="B83" s="20"/>
      <c r="C83" s="6"/>
      <c r="D83" s="168"/>
    </row>
    <row r="84" spans="1:4" ht="19.5" customHeight="1" hidden="1">
      <c r="A84" s="162" t="s">
        <v>18</v>
      </c>
      <c r="B84" s="6"/>
      <c r="C84" s="6"/>
      <c r="D84" s="167"/>
    </row>
    <row r="85" spans="1:4" ht="19.5" customHeight="1" hidden="1">
      <c r="A85" s="163"/>
      <c r="B85" s="6"/>
      <c r="C85" s="6"/>
      <c r="D85" s="164" t="s">
        <v>171</v>
      </c>
    </row>
    <row r="86" spans="1:4" ht="19.5" customHeight="1" hidden="1">
      <c r="A86" s="163"/>
      <c r="B86" s="20" t="s">
        <v>234</v>
      </c>
      <c r="C86" s="6"/>
      <c r="D86" s="18">
        <v>43790</v>
      </c>
    </row>
    <row r="87" spans="1:4" ht="19.5" customHeight="1" hidden="1" thickBot="1">
      <c r="A87" s="6"/>
      <c r="B87" s="20"/>
      <c r="C87" s="6" t="s">
        <v>53</v>
      </c>
      <c r="D87" s="161">
        <f>SUM(D86:D86)</f>
        <v>43790</v>
      </c>
    </row>
    <row r="88" spans="1:4" ht="19.5" customHeight="1" hidden="1" thickTop="1">
      <c r="A88" s="6"/>
      <c r="B88" s="20"/>
      <c r="C88" s="6"/>
      <c r="D88" s="168"/>
    </row>
    <row r="89" spans="1:4" ht="19.5" customHeight="1" hidden="1">
      <c r="A89" s="6"/>
      <c r="B89" s="20"/>
      <c r="C89" s="6"/>
      <c r="D89" s="168"/>
    </row>
    <row r="90" spans="1:4" ht="19.5" customHeight="1" hidden="1">
      <c r="A90" s="162" t="s">
        <v>19</v>
      </c>
      <c r="B90" s="6"/>
      <c r="C90" s="6"/>
      <c r="D90" s="168"/>
    </row>
    <row r="91" spans="1:4" ht="19.5" customHeight="1" hidden="1">
      <c r="A91" s="162"/>
      <c r="B91" s="6"/>
      <c r="C91" s="6"/>
      <c r="D91" s="164" t="s">
        <v>171</v>
      </c>
    </row>
    <row r="92" spans="1:4" ht="19.5" customHeight="1" hidden="1">
      <c r="A92" s="6"/>
      <c r="B92" s="20" t="s">
        <v>233</v>
      </c>
      <c r="C92" s="6"/>
      <c r="D92" s="168">
        <v>379100</v>
      </c>
    </row>
    <row r="93" spans="1:4" ht="19.5" customHeight="1" hidden="1" thickBot="1">
      <c r="A93" s="6"/>
      <c r="B93" s="20"/>
      <c r="C93" s="6" t="s">
        <v>53</v>
      </c>
      <c r="D93" s="161">
        <f>SUM(D92:D92)</f>
        <v>379100</v>
      </c>
    </row>
    <row r="94" spans="1:4" ht="18.75" customHeight="1" hidden="1" thickTop="1">
      <c r="A94" s="6"/>
      <c r="B94" s="20"/>
      <c r="C94" s="6"/>
      <c r="D94" s="168"/>
    </row>
    <row r="95" spans="1:4" ht="18.75" customHeight="1" hidden="1">
      <c r="A95" s="6"/>
      <c r="B95" s="20"/>
      <c r="C95" s="6"/>
      <c r="D95" s="168"/>
    </row>
    <row r="96" spans="1:4" ht="19.5" customHeight="1" hidden="1">
      <c r="A96" s="162" t="s">
        <v>20</v>
      </c>
      <c r="B96" s="6"/>
      <c r="C96" s="6"/>
      <c r="D96" s="168"/>
    </row>
    <row r="97" spans="1:4" ht="19.5" customHeight="1" hidden="1">
      <c r="A97" s="163"/>
      <c r="B97" s="6"/>
      <c r="C97" s="6"/>
      <c r="D97" s="164" t="s">
        <v>171</v>
      </c>
    </row>
    <row r="98" spans="1:4" ht="19.5" customHeight="1" hidden="1">
      <c r="A98" s="163"/>
      <c r="B98" s="20" t="s">
        <v>235</v>
      </c>
      <c r="C98" s="6"/>
      <c r="D98" s="18">
        <v>1478.64</v>
      </c>
    </row>
    <row r="99" spans="1:4" ht="19.5" customHeight="1" hidden="1" thickBot="1">
      <c r="A99" s="6"/>
      <c r="B99" s="20"/>
      <c r="C99" s="6" t="s">
        <v>53</v>
      </c>
      <c r="D99" s="161">
        <f>SUM(D98:D98)</f>
        <v>1478.64</v>
      </c>
    </row>
    <row r="100" spans="1:4" ht="18.75" customHeight="1" hidden="1" thickTop="1">
      <c r="A100" s="6"/>
      <c r="B100" s="20"/>
      <c r="C100" s="6"/>
      <c r="D100" s="168"/>
    </row>
    <row r="101" spans="1:4" ht="18.75" customHeight="1" hidden="1">
      <c r="A101" s="6"/>
      <c r="B101" s="20"/>
      <c r="C101" s="6"/>
      <c r="D101" s="168"/>
    </row>
    <row r="102" spans="1:4" ht="19.5" customHeight="1" hidden="1">
      <c r="A102" s="162" t="s">
        <v>12</v>
      </c>
      <c r="B102" s="20"/>
      <c r="C102" s="6"/>
      <c r="D102" s="168"/>
    </row>
    <row r="103" spans="1:4" ht="19.5" customHeight="1" hidden="1">
      <c r="A103" s="6"/>
      <c r="B103" s="20"/>
      <c r="C103" s="6"/>
      <c r="D103" s="164" t="s">
        <v>171</v>
      </c>
    </row>
    <row r="104" spans="1:4" ht="19.5" customHeight="1" hidden="1">
      <c r="A104" s="6"/>
      <c r="B104" s="20" t="s">
        <v>128</v>
      </c>
      <c r="C104" s="6"/>
      <c r="D104" s="168">
        <v>2394500</v>
      </c>
    </row>
    <row r="105" spans="1:4" ht="19.5" customHeight="1" hidden="1">
      <c r="A105" s="6"/>
      <c r="B105" s="20" t="s">
        <v>132</v>
      </c>
      <c r="C105" s="6"/>
      <c r="D105" s="168">
        <v>4340000</v>
      </c>
    </row>
    <row r="106" spans="1:4" ht="19.5" customHeight="1" hidden="1">
      <c r="A106" s="6"/>
      <c r="B106" s="20" t="s">
        <v>131</v>
      </c>
      <c r="C106" s="6"/>
      <c r="D106" s="168">
        <v>2030144.85</v>
      </c>
    </row>
    <row r="107" spans="1:4" ht="19.5" customHeight="1" hidden="1" thickBot="1">
      <c r="A107" s="6"/>
      <c r="B107" s="20"/>
      <c r="C107" s="6" t="s">
        <v>53</v>
      </c>
      <c r="D107" s="161">
        <f>SUM(D104:D106)</f>
        <v>8764644.85</v>
      </c>
    </row>
    <row r="108" spans="1:4" ht="18.75" customHeight="1" hidden="1" thickTop="1">
      <c r="A108" s="6"/>
      <c r="B108" s="20"/>
      <c r="C108" s="6"/>
      <c r="D108" s="168"/>
    </row>
    <row r="109" spans="1:4" ht="18.75" customHeight="1" hidden="1">
      <c r="A109" s="6"/>
      <c r="B109" s="20"/>
      <c r="C109" s="6"/>
      <c r="D109" s="168"/>
    </row>
    <row r="110" spans="1:4" ht="18.75" customHeight="1" hidden="1">
      <c r="A110" s="6"/>
      <c r="B110" s="20"/>
      <c r="C110" s="6"/>
      <c r="D110" s="168"/>
    </row>
    <row r="111" spans="1:4" ht="18.75" customHeight="1" hidden="1">
      <c r="A111" s="6"/>
      <c r="B111" s="20"/>
      <c r="C111" s="6"/>
      <c r="D111" s="168"/>
    </row>
    <row r="112" spans="1:4" ht="18.75" customHeight="1" hidden="1">
      <c r="A112" s="6"/>
      <c r="B112" s="20"/>
      <c r="C112" s="6"/>
      <c r="D112" s="168"/>
    </row>
    <row r="113" spans="1:4" ht="18.75" customHeight="1" hidden="1">
      <c r="A113" s="6"/>
      <c r="B113" s="20"/>
      <c r="C113" s="6"/>
      <c r="D113" s="168"/>
    </row>
    <row r="114" spans="1:4" ht="18.75" customHeight="1" hidden="1">
      <c r="A114" s="300" t="s">
        <v>212</v>
      </c>
      <c r="B114" s="300"/>
      <c r="C114" s="300"/>
      <c r="D114" s="300"/>
    </row>
    <row r="115" spans="1:4" ht="18.75" customHeight="1" hidden="1">
      <c r="A115" s="299" t="s">
        <v>213</v>
      </c>
      <c r="B115" s="299"/>
      <c r="C115" s="299"/>
      <c r="D115" s="299"/>
    </row>
    <row r="116" spans="1:4" ht="22.5">
      <c r="A116" s="6"/>
      <c r="B116" s="20"/>
      <c r="C116" s="6"/>
      <c r="D116" s="168"/>
    </row>
    <row r="117" spans="1:4" ht="22.5">
      <c r="A117" s="6"/>
      <c r="B117" s="20"/>
      <c r="C117" s="6"/>
      <c r="D117" s="168"/>
    </row>
    <row r="118" spans="1:4" ht="22.5">
      <c r="A118" s="6"/>
      <c r="B118" s="20"/>
      <c r="C118" s="6"/>
      <c r="D118" s="168"/>
    </row>
    <row r="119" spans="1:4" ht="22.5">
      <c r="A119" s="6"/>
      <c r="B119" s="20"/>
      <c r="C119" s="6"/>
      <c r="D119" s="168"/>
    </row>
    <row r="120" spans="1:4" ht="22.5">
      <c r="A120" s="6"/>
      <c r="B120" s="20"/>
      <c r="C120" s="6"/>
      <c r="D120" s="168"/>
    </row>
    <row r="121" spans="1:4" ht="22.5">
      <c r="A121" s="6"/>
      <c r="B121" s="20"/>
      <c r="C121" s="6"/>
      <c r="D121" s="168"/>
    </row>
    <row r="122" spans="1:4" ht="22.5">
      <c r="A122" s="6"/>
      <c r="B122" s="20"/>
      <c r="C122" s="6"/>
      <c r="D122" s="168"/>
    </row>
    <row r="123" spans="1:4" ht="22.5">
      <c r="A123" s="6"/>
      <c r="B123" s="20"/>
      <c r="C123" s="6"/>
      <c r="D123" s="168"/>
    </row>
    <row r="124" spans="1:4" ht="22.5">
      <c r="A124" s="6"/>
      <c r="B124" s="20"/>
      <c r="C124" s="6"/>
      <c r="D124" s="168"/>
    </row>
    <row r="125" spans="1:4" ht="22.5">
      <c r="A125" s="6"/>
      <c r="B125" s="20"/>
      <c r="C125" s="6"/>
      <c r="D125" s="18"/>
    </row>
    <row r="126" spans="1:4" ht="22.5">
      <c r="A126" s="6"/>
      <c r="B126" s="20"/>
      <c r="C126" s="6"/>
      <c r="D126" s="18"/>
    </row>
    <row r="127" spans="1:4" ht="22.5">
      <c r="A127" s="6"/>
      <c r="B127" s="20"/>
      <c r="C127" s="6"/>
      <c r="D127" s="18"/>
    </row>
    <row r="128" spans="1:4" ht="22.5">
      <c r="A128" s="6"/>
      <c r="B128" s="20"/>
      <c r="C128" s="6"/>
      <c r="D128" s="18"/>
    </row>
    <row r="129" spans="1:4" ht="22.5">
      <c r="A129" s="6"/>
      <c r="B129" s="20"/>
      <c r="C129" s="6"/>
      <c r="D129" s="18"/>
    </row>
    <row r="130" spans="1:4" ht="22.5">
      <c r="A130" s="6"/>
      <c r="B130" s="20"/>
      <c r="C130" s="6"/>
      <c r="D130" s="18"/>
    </row>
    <row r="131" spans="1:4" ht="22.5">
      <c r="A131" s="6"/>
      <c r="B131" s="20"/>
      <c r="C131" s="6"/>
      <c r="D131" s="18"/>
    </row>
    <row r="132" spans="1:4" ht="22.5">
      <c r="A132" s="6"/>
      <c r="B132" s="20"/>
      <c r="C132" s="6"/>
      <c r="D132" s="18"/>
    </row>
    <row r="133" spans="1:4" ht="22.5">
      <c r="A133" s="6"/>
      <c r="B133" s="20"/>
      <c r="C133" s="6"/>
      <c r="D133" s="18"/>
    </row>
    <row r="134" spans="1:4" ht="22.5">
      <c r="A134" s="6"/>
      <c r="B134" s="20"/>
      <c r="C134" s="6"/>
      <c r="D134" s="18"/>
    </row>
    <row r="135" spans="1:4" ht="22.5">
      <c r="A135" s="6"/>
      <c r="B135" s="20"/>
      <c r="C135" s="6"/>
      <c r="D135" s="18"/>
    </row>
    <row r="136" spans="1:4" ht="22.5">
      <c r="A136" s="6"/>
      <c r="B136" s="20"/>
      <c r="C136" s="6"/>
      <c r="D136" s="18"/>
    </row>
    <row r="137" spans="1:4" ht="22.5">
      <c r="A137" s="6"/>
      <c r="B137" s="20"/>
      <c r="C137" s="6"/>
      <c r="D137" s="18"/>
    </row>
    <row r="138" spans="1:4" ht="22.5">
      <c r="A138" s="6"/>
      <c r="B138" s="20"/>
      <c r="C138" s="6"/>
      <c r="D138" s="18"/>
    </row>
    <row r="139" spans="1:4" ht="22.5">
      <c r="A139" s="6"/>
      <c r="B139" s="20"/>
      <c r="C139" s="6"/>
      <c r="D139" s="18"/>
    </row>
    <row r="140" spans="1:4" ht="22.5">
      <c r="A140" s="6"/>
      <c r="B140" s="20"/>
      <c r="C140" s="6"/>
      <c r="D140" s="18"/>
    </row>
    <row r="141" spans="1:4" ht="22.5">
      <c r="A141" s="6"/>
      <c r="B141" s="20"/>
      <c r="C141" s="6"/>
      <c r="D141" s="18"/>
    </row>
    <row r="142" spans="1:4" ht="22.5">
      <c r="A142" s="6"/>
      <c r="B142" s="20"/>
      <c r="C142" s="6"/>
      <c r="D142" s="18"/>
    </row>
    <row r="143" spans="1:4" ht="22.5">
      <c r="A143" s="6"/>
      <c r="B143" s="20"/>
      <c r="C143" s="6"/>
      <c r="D143" s="18"/>
    </row>
    <row r="144" spans="1:4" ht="22.5">
      <c r="A144" s="6"/>
      <c r="B144" s="6"/>
      <c r="C144" s="18"/>
      <c r="D144" s="18"/>
    </row>
    <row r="145" spans="1:4" ht="22.5">
      <c r="A145" s="6"/>
      <c r="B145" s="6"/>
      <c r="C145" s="6"/>
      <c r="D145" s="18"/>
    </row>
    <row r="146" spans="1:4" ht="22.5">
      <c r="A146" s="6"/>
      <c r="B146" s="20"/>
      <c r="C146" s="6"/>
      <c r="D146" s="18"/>
    </row>
    <row r="147" spans="1:4" ht="22.5">
      <c r="A147" s="6"/>
      <c r="B147" s="20"/>
      <c r="C147" s="6"/>
      <c r="D147" s="18"/>
    </row>
    <row r="148" spans="1:4" ht="22.5">
      <c r="A148" s="6"/>
      <c r="B148" s="21"/>
      <c r="C148" s="6"/>
      <c r="D148" s="168"/>
    </row>
    <row r="149" spans="1:4" ht="22.5">
      <c r="A149" s="6"/>
      <c r="B149" s="6"/>
      <c r="C149" s="6"/>
      <c r="D149" s="6"/>
    </row>
    <row r="150" spans="1:4" ht="22.5">
      <c r="A150" s="6"/>
      <c r="B150" s="6"/>
      <c r="C150" s="6"/>
      <c r="D150" s="6"/>
    </row>
    <row r="151" spans="1:4" ht="22.5">
      <c r="A151" s="6"/>
      <c r="B151" s="6"/>
      <c r="C151" s="6"/>
      <c r="D151" s="6"/>
    </row>
    <row r="152" spans="1:4" ht="22.5">
      <c r="A152" s="6"/>
      <c r="B152" s="6"/>
      <c r="C152" s="6"/>
      <c r="D152" s="6"/>
    </row>
    <row r="153" spans="1:4" ht="22.5">
      <c r="A153" s="6"/>
      <c r="B153" s="21"/>
      <c r="C153" s="21"/>
      <c r="D153" s="21"/>
    </row>
    <row r="154" spans="1:4" ht="22.5">
      <c r="A154" s="6"/>
      <c r="B154" s="21"/>
      <c r="C154" s="21"/>
      <c r="D154" s="85"/>
    </row>
    <row r="155" spans="1:4" ht="22.5">
      <c r="A155" s="6"/>
      <c r="B155" s="21"/>
      <c r="C155" s="21"/>
      <c r="D155" s="85"/>
    </row>
    <row r="156" spans="1:4" ht="22.5">
      <c r="A156" s="6"/>
      <c r="B156" s="6"/>
      <c r="C156" s="18"/>
      <c r="D156" s="6"/>
    </row>
    <row r="157" spans="1:4" ht="22.5">
      <c r="A157" s="6"/>
      <c r="B157" s="6"/>
      <c r="C157" s="6"/>
      <c r="D157" s="6"/>
    </row>
    <row r="158" spans="1:4" ht="22.5">
      <c r="A158" s="6"/>
      <c r="B158" s="6"/>
      <c r="C158" s="6"/>
      <c r="D158" s="6"/>
    </row>
    <row r="159" spans="1:4" ht="22.5">
      <c r="A159" s="6"/>
      <c r="B159" s="6"/>
      <c r="C159" s="6"/>
      <c r="D159" s="18"/>
    </row>
    <row r="160" spans="1:4" ht="22.5">
      <c r="A160" s="6"/>
      <c r="B160" s="6"/>
      <c r="C160" s="6"/>
      <c r="D160" s="18"/>
    </row>
    <row r="161" spans="1:4" ht="22.5">
      <c r="A161" s="6"/>
      <c r="B161" s="6"/>
      <c r="C161" s="6"/>
      <c r="D161" s="18"/>
    </row>
    <row r="162" spans="1:4" ht="22.5">
      <c r="A162" s="6"/>
      <c r="B162" s="6"/>
      <c r="C162" s="6"/>
      <c r="D162" s="18"/>
    </row>
    <row r="163" spans="1:4" ht="22.5">
      <c r="A163" s="6"/>
      <c r="B163" s="6"/>
      <c r="C163" s="6"/>
      <c r="D163" s="18"/>
    </row>
    <row r="164" spans="1:4" ht="22.5">
      <c r="A164" s="6"/>
      <c r="B164" s="6"/>
      <c r="C164" s="6"/>
      <c r="D164" s="18"/>
    </row>
    <row r="165" spans="1:4" ht="22.5">
      <c r="A165" s="6"/>
      <c r="B165" s="6"/>
      <c r="C165" s="6"/>
      <c r="D165" s="18"/>
    </row>
    <row r="166" spans="1:4" ht="22.5">
      <c r="A166" s="6"/>
      <c r="B166" s="6"/>
      <c r="C166" s="6"/>
      <c r="D166" s="18"/>
    </row>
    <row r="167" spans="1:4" ht="22.5">
      <c r="A167" s="6"/>
      <c r="B167" s="6"/>
      <c r="C167" s="6"/>
      <c r="D167" s="18"/>
    </row>
    <row r="168" spans="1:4" ht="22.5">
      <c r="A168" s="6"/>
      <c r="B168" s="6"/>
      <c r="C168" s="6"/>
      <c r="D168" s="18"/>
    </row>
    <row r="169" spans="1:4" ht="22.5">
      <c r="A169" s="6"/>
      <c r="B169" s="6"/>
      <c r="C169" s="6"/>
      <c r="D169" s="18"/>
    </row>
    <row r="170" spans="1:4" ht="22.5">
      <c r="A170" s="6"/>
      <c r="B170" s="6"/>
      <c r="C170" s="6"/>
      <c r="D170" s="18"/>
    </row>
  </sheetData>
  <sheetProtection/>
  <mergeCells count="7">
    <mergeCell ref="A114:D114"/>
    <mergeCell ref="A115:D115"/>
    <mergeCell ref="A2:D2"/>
    <mergeCell ref="A3:D3"/>
    <mergeCell ref="A4:D4"/>
    <mergeCell ref="A51:D51"/>
    <mergeCell ref="A52:D52"/>
  </mergeCells>
  <printOptions/>
  <pageMargins left="0.7874015748031497" right="0.35433070866141736" top="0" bottom="0" header="0.07874015748031496" footer="0.1181102362204724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view="pageBreakPreview" zoomScaleSheetLayoutView="100" zoomScalePageLayoutView="0" workbookViewId="0" topLeftCell="A49">
      <selection activeCell="C61" sqref="C61"/>
    </sheetView>
  </sheetViews>
  <sheetFormatPr defaultColWidth="9.140625" defaultRowHeight="21.75"/>
  <cols>
    <col min="1" max="1" width="63.57421875" style="0" customWidth="1"/>
    <col min="2" max="2" width="10.8515625" style="0" customWidth="1"/>
    <col min="3" max="3" width="17.140625" style="0" customWidth="1"/>
    <col min="4" max="4" width="17.28125" style="0" customWidth="1"/>
    <col min="5" max="5" width="0.13671875" style="0" customWidth="1"/>
    <col min="6" max="6" width="9.140625" style="0" hidden="1" customWidth="1"/>
  </cols>
  <sheetData>
    <row r="1" ht="20.25" customHeight="1">
      <c r="D1" s="169" t="s">
        <v>383</v>
      </c>
    </row>
    <row r="2" spans="1:4" ht="22.5" customHeight="1">
      <c r="A2" s="302" t="s">
        <v>0</v>
      </c>
      <c r="B2" s="302"/>
      <c r="C2" s="302"/>
      <c r="D2" s="302"/>
    </row>
    <row r="3" spans="1:6" ht="22.5" customHeight="1">
      <c r="A3" s="302" t="s">
        <v>200</v>
      </c>
      <c r="B3" s="302"/>
      <c r="C3" s="302"/>
      <c r="D3" s="302"/>
      <c r="F3" t="s">
        <v>67</v>
      </c>
    </row>
    <row r="4" spans="1:4" ht="22.5" customHeight="1">
      <c r="A4" s="301" t="s">
        <v>398</v>
      </c>
      <c r="B4" s="301"/>
      <c r="C4" s="301"/>
      <c r="D4" s="301"/>
    </row>
    <row r="5" spans="1:4" ht="22.5">
      <c r="A5" s="100" t="s">
        <v>124</v>
      </c>
      <c r="B5" s="101" t="s">
        <v>35</v>
      </c>
      <c r="C5" s="101" t="s">
        <v>94</v>
      </c>
      <c r="D5" s="108" t="s">
        <v>38</v>
      </c>
    </row>
    <row r="6" spans="1:4" ht="19.5" customHeight="1">
      <c r="A6" s="153" t="s">
        <v>40</v>
      </c>
      <c r="B6" s="104">
        <v>41000000</v>
      </c>
      <c r="C6" s="102"/>
      <c r="D6" s="109"/>
    </row>
    <row r="7" spans="1:4" ht="19.5" customHeight="1">
      <c r="A7" s="170" t="s">
        <v>39</v>
      </c>
      <c r="B7" s="104">
        <v>41100000</v>
      </c>
      <c r="C7" s="103"/>
      <c r="D7" s="110"/>
    </row>
    <row r="8" spans="1:4" ht="19.5" customHeight="1">
      <c r="A8" s="20" t="s">
        <v>83</v>
      </c>
      <c r="B8" s="104">
        <v>41100001</v>
      </c>
      <c r="C8" s="105">
        <v>810000</v>
      </c>
      <c r="D8" s="111">
        <v>704648</v>
      </c>
    </row>
    <row r="9" spans="1:4" ht="19.5" customHeight="1">
      <c r="A9" s="20" t="s">
        <v>84</v>
      </c>
      <c r="B9" s="104">
        <v>41100002</v>
      </c>
      <c r="C9" s="105">
        <v>200000</v>
      </c>
      <c r="D9" s="111">
        <v>158403.95</v>
      </c>
    </row>
    <row r="10" spans="1:4" ht="19.5" customHeight="1">
      <c r="A10" s="20" t="s">
        <v>11</v>
      </c>
      <c r="B10" s="104">
        <v>41100003</v>
      </c>
      <c r="C10" s="105">
        <v>65000</v>
      </c>
      <c r="D10" s="111">
        <v>55700</v>
      </c>
    </row>
    <row r="11" spans="1:4" ht="19.5" customHeight="1" hidden="1">
      <c r="A11" s="20" t="s">
        <v>125</v>
      </c>
      <c r="B11" s="104">
        <v>41100004</v>
      </c>
      <c r="C11" s="105">
        <v>0</v>
      </c>
      <c r="D11" s="111">
        <v>0</v>
      </c>
    </row>
    <row r="12" spans="1:4" ht="19.5" customHeight="1">
      <c r="A12" s="20" t="s">
        <v>150</v>
      </c>
      <c r="B12" s="104">
        <v>41100005</v>
      </c>
      <c r="C12" s="105">
        <v>250000</v>
      </c>
      <c r="D12" s="111">
        <v>35678.55</v>
      </c>
    </row>
    <row r="13" spans="1:4" ht="19.5" customHeight="1">
      <c r="A13" s="21" t="s">
        <v>53</v>
      </c>
      <c r="B13" s="104"/>
      <c r="C13" s="107">
        <f>SUM(C8:C12)</f>
        <v>1325000</v>
      </c>
      <c r="D13" s="112">
        <f>SUM(D8:D12)</f>
        <v>954430.5</v>
      </c>
    </row>
    <row r="14" spans="1:4" ht="19.5" customHeight="1">
      <c r="A14" s="170" t="s">
        <v>126</v>
      </c>
      <c r="B14" s="104">
        <v>41200000</v>
      </c>
      <c r="C14" s="98"/>
      <c r="D14" s="111"/>
    </row>
    <row r="15" spans="1:4" ht="19.5" customHeight="1">
      <c r="A15" s="20" t="s">
        <v>112</v>
      </c>
      <c r="B15" s="104">
        <v>41210004</v>
      </c>
      <c r="C15" s="105">
        <v>3000</v>
      </c>
      <c r="D15" s="111">
        <v>3065.2</v>
      </c>
    </row>
    <row r="16" spans="1:4" ht="19.5" customHeight="1">
      <c r="A16" s="20" t="s">
        <v>41</v>
      </c>
      <c r="B16" s="104">
        <v>41210005</v>
      </c>
      <c r="C16" s="105">
        <v>100</v>
      </c>
      <c r="D16" s="111">
        <v>0</v>
      </c>
    </row>
    <row r="17" spans="1:4" ht="19.5" customHeight="1">
      <c r="A17" s="20" t="s">
        <v>113</v>
      </c>
      <c r="B17" s="104">
        <v>41210007</v>
      </c>
      <c r="C17" s="105">
        <v>50000</v>
      </c>
      <c r="D17" s="111">
        <v>19086</v>
      </c>
    </row>
    <row r="18" spans="1:4" ht="19.5" customHeight="1">
      <c r="A18" s="20" t="s">
        <v>114</v>
      </c>
      <c r="B18" s="104">
        <v>41210008</v>
      </c>
      <c r="C18" s="105">
        <v>85000</v>
      </c>
      <c r="D18" s="111">
        <v>43510</v>
      </c>
    </row>
    <row r="19" spans="1:4" ht="19.5" customHeight="1">
      <c r="A19" s="182" t="s">
        <v>127</v>
      </c>
      <c r="B19" s="104">
        <v>41210010</v>
      </c>
      <c r="C19" s="105">
        <v>500</v>
      </c>
      <c r="D19" s="111">
        <v>250</v>
      </c>
    </row>
    <row r="20" spans="1:4" ht="19.5" customHeight="1">
      <c r="A20" s="20" t="s">
        <v>28</v>
      </c>
      <c r="B20" s="104">
        <v>41210012</v>
      </c>
      <c r="C20" s="105">
        <v>500</v>
      </c>
      <c r="D20" s="111">
        <v>300</v>
      </c>
    </row>
    <row r="21" spans="1:4" ht="19.5" customHeight="1">
      <c r="A21" s="20" t="s">
        <v>115</v>
      </c>
      <c r="B21" s="104">
        <v>41210029</v>
      </c>
      <c r="C21" s="105">
        <v>1500</v>
      </c>
      <c r="D21" s="111">
        <v>370</v>
      </c>
    </row>
    <row r="22" spans="1:4" ht="19.5" customHeight="1">
      <c r="A22" s="20" t="s">
        <v>153</v>
      </c>
      <c r="B22" s="104">
        <v>41210033</v>
      </c>
      <c r="C22" s="105">
        <v>0</v>
      </c>
      <c r="D22" s="111">
        <v>6520</v>
      </c>
    </row>
    <row r="23" spans="1:4" ht="19.5" customHeight="1">
      <c r="A23" s="20" t="s">
        <v>197</v>
      </c>
      <c r="B23" s="104">
        <v>41219999</v>
      </c>
      <c r="C23" s="105">
        <v>1500</v>
      </c>
      <c r="D23" s="111">
        <f>90</f>
        <v>90</v>
      </c>
    </row>
    <row r="24" spans="1:4" ht="19.5" customHeight="1">
      <c r="A24" s="20" t="s">
        <v>146</v>
      </c>
      <c r="B24" s="104">
        <v>41220002</v>
      </c>
      <c r="C24" s="105">
        <v>1500</v>
      </c>
      <c r="D24" s="111">
        <v>0</v>
      </c>
    </row>
    <row r="25" spans="1:4" ht="19.5" customHeight="1">
      <c r="A25" s="20" t="s">
        <v>42</v>
      </c>
      <c r="B25" s="104">
        <v>41220009</v>
      </c>
      <c r="C25" s="105">
        <v>100</v>
      </c>
      <c r="D25" s="111">
        <v>0</v>
      </c>
    </row>
    <row r="26" spans="1:4" ht="19.5" customHeight="1">
      <c r="A26" s="20" t="s">
        <v>29</v>
      </c>
      <c r="B26" s="104">
        <v>41220010</v>
      </c>
      <c r="C26" s="105">
        <v>150000</v>
      </c>
      <c r="D26" s="111">
        <v>1298336</v>
      </c>
    </row>
    <row r="27" spans="1:4" ht="19.5" customHeight="1" hidden="1">
      <c r="A27" s="20" t="s">
        <v>30</v>
      </c>
      <c r="B27" s="104">
        <v>41229999</v>
      </c>
      <c r="C27" s="105">
        <v>0</v>
      </c>
      <c r="D27" s="111">
        <v>0</v>
      </c>
    </row>
    <row r="28" spans="1:4" ht="19.5" customHeight="1">
      <c r="A28" s="20" t="s">
        <v>116</v>
      </c>
      <c r="B28" s="104">
        <v>41230003</v>
      </c>
      <c r="C28" s="105">
        <v>23000</v>
      </c>
      <c r="D28" s="111">
        <v>21200</v>
      </c>
    </row>
    <row r="29" spans="1:4" ht="19.5" customHeight="1">
      <c r="A29" s="20" t="s">
        <v>117</v>
      </c>
      <c r="B29" s="104">
        <v>41230004</v>
      </c>
      <c r="C29" s="105">
        <v>200</v>
      </c>
      <c r="D29" s="111">
        <v>0</v>
      </c>
    </row>
    <row r="30" spans="1:4" ht="19.5" customHeight="1">
      <c r="A30" s="20" t="s">
        <v>31</v>
      </c>
      <c r="B30" s="104">
        <v>41230006</v>
      </c>
      <c r="C30" s="105">
        <v>2000</v>
      </c>
      <c r="D30" s="111">
        <v>2000</v>
      </c>
    </row>
    <row r="31" spans="1:4" ht="19.5" customHeight="1">
      <c r="A31" s="20" t="s">
        <v>101</v>
      </c>
      <c r="B31" s="104">
        <v>41230007</v>
      </c>
      <c r="C31" s="105">
        <v>1500</v>
      </c>
      <c r="D31" s="111">
        <v>800</v>
      </c>
    </row>
    <row r="32" spans="1:4" ht="19.5" customHeight="1">
      <c r="A32" s="20" t="s">
        <v>10</v>
      </c>
      <c r="B32" s="104">
        <v>41230008</v>
      </c>
      <c r="C32" s="105">
        <v>700</v>
      </c>
      <c r="D32" s="111">
        <v>230</v>
      </c>
    </row>
    <row r="33" spans="1:4" ht="19.5" customHeight="1">
      <c r="A33" s="20" t="s">
        <v>50</v>
      </c>
      <c r="B33" s="104">
        <v>41239999</v>
      </c>
      <c r="C33" s="105">
        <v>200</v>
      </c>
      <c r="D33" s="111">
        <v>0</v>
      </c>
    </row>
    <row r="34" spans="1:4" ht="19.5" customHeight="1">
      <c r="A34" s="21" t="s">
        <v>53</v>
      </c>
      <c r="B34" s="104"/>
      <c r="C34" s="107">
        <f>SUM(C15:C33)</f>
        <v>321300</v>
      </c>
      <c r="D34" s="112">
        <f>SUM(D15:D33)</f>
        <v>1395757.2</v>
      </c>
    </row>
    <row r="35" spans="1:4" ht="19.5" customHeight="1">
      <c r="A35" s="170" t="s">
        <v>43</v>
      </c>
      <c r="B35" s="104">
        <v>41300000</v>
      </c>
      <c r="C35" s="98"/>
      <c r="D35" s="111"/>
    </row>
    <row r="36" spans="1:4" ht="19.5" customHeight="1" hidden="1">
      <c r="A36" s="20" t="s">
        <v>2</v>
      </c>
      <c r="B36" s="104">
        <v>41300002</v>
      </c>
      <c r="C36" s="105">
        <v>0</v>
      </c>
      <c r="D36" s="111">
        <v>0</v>
      </c>
    </row>
    <row r="37" spans="1:4" ht="19.5" customHeight="1">
      <c r="A37" s="20" t="s">
        <v>32</v>
      </c>
      <c r="B37" s="104">
        <v>41300003</v>
      </c>
      <c r="C37" s="105">
        <v>700000</v>
      </c>
      <c r="D37" s="111">
        <v>354472.35</v>
      </c>
    </row>
    <row r="38" spans="1:4" ht="19.5" customHeight="1">
      <c r="A38" s="20" t="s">
        <v>33</v>
      </c>
      <c r="B38" s="104">
        <v>41399999</v>
      </c>
      <c r="C38" s="105">
        <v>25000</v>
      </c>
      <c r="D38" s="111">
        <v>15120</v>
      </c>
    </row>
    <row r="39" spans="1:4" ht="19.5" customHeight="1">
      <c r="A39" s="171" t="s">
        <v>53</v>
      </c>
      <c r="B39" s="121"/>
      <c r="C39" s="107">
        <f>SUM(C36:C38)</f>
        <v>725000</v>
      </c>
      <c r="D39" s="112">
        <f>SUM(D36:D38)</f>
        <v>369592.35</v>
      </c>
    </row>
    <row r="40" spans="1:4" ht="20.25" customHeight="1">
      <c r="A40" s="21"/>
      <c r="B40" s="183"/>
      <c r="C40" s="184"/>
      <c r="D40" s="184"/>
    </row>
    <row r="41" spans="1:4" ht="20.25" customHeight="1">
      <c r="A41" s="21"/>
      <c r="B41" s="183"/>
      <c r="C41" s="184"/>
      <c r="D41" s="184"/>
    </row>
    <row r="42" spans="1:4" ht="20.25" customHeight="1">
      <c r="A42" s="21"/>
      <c r="B42" s="183"/>
      <c r="C42" s="184"/>
      <c r="D42" s="184"/>
    </row>
    <row r="43" spans="1:4" ht="20.25" customHeight="1">
      <c r="A43" s="21"/>
      <c r="B43" s="183"/>
      <c r="C43" s="184"/>
      <c r="D43" s="184"/>
    </row>
    <row r="44" spans="1:4" ht="20.25" customHeight="1">
      <c r="A44" s="21"/>
      <c r="B44" s="183"/>
      <c r="C44" s="184"/>
      <c r="D44" s="184"/>
    </row>
    <row r="45" spans="1:4" ht="20.25" customHeight="1">
      <c r="A45" s="300" t="s">
        <v>165</v>
      </c>
      <c r="B45" s="300"/>
      <c r="C45" s="300"/>
      <c r="D45" s="300"/>
    </row>
    <row r="46" spans="1:4" ht="20.25" customHeight="1">
      <c r="A46" s="299" t="s">
        <v>166</v>
      </c>
      <c r="B46" s="299"/>
      <c r="C46" s="299"/>
      <c r="D46" s="299"/>
    </row>
    <row r="47" spans="1:4" s="22" customFormat="1" ht="20.25" customHeight="1">
      <c r="A47" s="189"/>
      <c r="B47" s="183"/>
      <c r="C47" s="184"/>
      <c r="D47" s="184"/>
    </row>
    <row r="48" spans="1:4" s="22" customFormat="1" ht="20.25" customHeight="1">
      <c r="A48" s="189"/>
      <c r="B48" s="183"/>
      <c r="C48" s="184"/>
      <c r="D48" s="184"/>
    </row>
    <row r="49" spans="1:4" s="22" customFormat="1" ht="20.25" customHeight="1">
      <c r="A49" s="100" t="s">
        <v>124</v>
      </c>
      <c r="B49" s="101" t="s">
        <v>35</v>
      </c>
      <c r="C49" s="101" t="s">
        <v>94</v>
      </c>
      <c r="D49" s="108" t="s">
        <v>38</v>
      </c>
    </row>
    <row r="50" spans="1:4" s="22" customFormat="1" ht="20.25" customHeight="1">
      <c r="A50" s="170" t="s">
        <v>44</v>
      </c>
      <c r="B50" s="104">
        <v>41400000</v>
      </c>
      <c r="C50" s="98"/>
      <c r="D50" s="111"/>
    </row>
    <row r="51" spans="1:4" s="22" customFormat="1" ht="20.25" customHeight="1">
      <c r="A51" s="20" t="s">
        <v>134</v>
      </c>
      <c r="B51" s="104">
        <v>41400006</v>
      </c>
      <c r="C51" s="105">
        <v>300000</v>
      </c>
      <c r="D51" s="111">
        <v>148122</v>
      </c>
    </row>
    <row r="52" spans="1:4" s="22" customFormat="1" ht="20.25" customHeight="1">
      <c r="A52" s="21" t="s">
        <v>53</v>
      </c>
      <c r="B52" s="104"/>
      <c r="C52" s="107">
        <f>SUM(C51)</f>
        <v>300000</v>
      </c>
      <c r="D52" s="112">
        <f>SUM(D51)</f>
        <v>148122</v>
      </c>
    </row>
    <row r="53" spans="1:4" s="22" customFormat="1" ht="20.25" customHeight="1">
      <c r="A53" s="170" t="s">
        <v>45</v>
      </c>
      <c r="B53" s="104">
        <v>41500000</v>
      </c>
      <c r="C53" s="98"/>
      <c r="D53" s="111"/>
    </row>
    <row r="54" spans="1:4" s="22" customFormat="1" ht="20.25" customHeight="1">
      <c r="A54" s="278" t="s">
        <v>384</v>
      </c>
      <c r="B54" s="104">
        <v>41500003</v>
      </c>
      <c r="C54" s="279">
        <v>0</v>
      </c>
      <c r="D54" s="111">
        <v>36000</v>
      </c>
    </row>
    <row r="55" spans="1:4" s="22" customFormat="1" ht="20.25" customHeight="1">
      <c r="A55" s="20" t="s">
        <v>147</v>
      </c>
      <c r="B55" s="104">
        <v>41500004</v>
      </c>
      <c r="C55" s="105">
        <v>140000</v>
      </c>
      <c r="D55" s="111">
        <v>51000</v>
      </c>
    </row>
    <row r="56" spans="1:4" s="22" customFormat="1" ht="20.25" customHeight="1">
      <c r="A56" s="20" t="s">
        <v>108</v>
      </c>
      <c r="B56" s="104">
        <v>41500007</v>
      </c>
      <c r="C56" s="105">
        <v>200</v>
      </c>
      <c r="D56" s="111">
        <v>0</v>
      </c>
    </row>
    <row r="57" spans="1:4" s="22" customFormat="1" ht="20.25" customHeight="1">
      <c r="A57" s="20" t="s">
        <v>81</v>
      </c>
      <c r="B57" s="104">
        <v>41599999</v>
      </c>
      <c r="C57" s="105">
        <v>55000</v>
      </c>
      <c r="D57" s="111">
        <v>22700</v>
      </c>
    </row>
    <row r="58" spans="1:4" s="22" customFormat="1" ht="20.25" customHeight="1">
      <c r="A58" s="185" t="s">
        <v>53</v>
      </c>
      <c r="B58" s="104"/>
      <c r="C58" s="107">
        <f>SUM(C54:C57)</f>
        <v>195200</v>
      </c>
      <c r="D58" s="112">
        <f>SUM(D54:D57)</f>
        <v>109700</v>
      </c>
    </row>
    <row r="59" spans="1:4" s="22" customFormat="1" ht="20.25" customHeight="1">
      <c r="A59" s="120" t="s">
        <v>46</v>
      </c>
      <c r="B59" s="104">
        <v>42000000</v>
      </c>
      <c r="C59" s="98"/>
      <c r="D59" s="111"/>
    </row>
    <row r="60" spans="1:4" s="22" customFormat="1" ht="20.25" customHeight="1">
      <c r="A60" s="99" t="s">
        <v>47</v>
      </c>
      <c r="B60" s="104">
        <v>42100000</v>
      </c>
      <c r="C60" s="98"/>
      <c r="D60" s="111"/>
    </row>
    <row r="61" spans="1:4" s="22" customFormat="1" ht="20.25" customHeight="1">
      <c r="A61" s="20" t="s">
        <v>135</v>
      </c>
      <c r="B61" s="104">
        <v>42100001</v>
      </c>
      <c r="C61" s="105">
        <v>800000</v>
      </c>
      <c r="D61" s="111">
        <v>474137.44</v>
      </c>
    </row>
    <row r="62" spans="1:4" s="22" customFormat="1" ht="20.25" customHeight="1">
      <c r="A62" s="20" t="s">
        <v>136</v>
      </c>
      <c r="B62" s="104">
        <v>42100002</v>
      </c>
      <c r="C62" s="105">
        <v>9400000</v>
      </c>
      <c r="D62" s="111">
        <v>6413166.84</v>
      </c>
    </row>
    <row r="63" spans="1:4" s="22" customFormat="1" ht="20.25" customHeight="1">
      <c r="A63" s="20" t="s">
        <v>137</v>
      </c>
      <c r="B63" s="104">
        <v>42100004</v>
      </c>
      <c r="C63" s="105">
        <v>5060000</v>
      </c>
      <c r="D63" s="111">
        <v>2919012.43</v>
      </c>
    </row>
    <row r="64" spans="1:4" s="22" customFormat="1" ht="20.25" customHeight="1">
      <c r="A64" s="20" t="s">
        <v>34</v>
      </c>
      <c r="B64" s="104">
        <v>42100005</v>
      </c>
      <c r="C64" s="105">
        <v>200000</v>
      </c>
      <c r="D64" s="111">
        <v>118451.63</v>
      </c>
    </row>
    <row r="65" spans="1:4" s="22" customFormat="1" ht="20.25" customHeight="1">
      <c r="A65" s="20" t="s">
        <v>148</v>
      </c>
      <c r="B65" s="104">
        <v>42100007</v>
      </c>
      <c r="C65" s="105">
        <v>8500000</v>
      </c>
      <c r="D65" s="111">
        <v>5769600.69</v>
      </c>
    </row>
    <row r="66" spans="1:4" s="22" customFormat="1" ht="20.25" customHeight="1">
      <c r="A66" s="20" t="s">
        <v>109</v>
      </c>
      <c r="B66" s="104">
        <v>42100012</v>
      </c>
      <c r="C66" s="105">
        <v>100000</v>
      </c>
      <c r="D66" s="111">
        <v>56722.61</v>
      </c>
    </row>
    <row r="67" spans="1:4" ht="20.25" customHeight="1">
      <c r="A67" s="20" t="s">
        <v>149</v>
      </c>
      <c r="B67" s="104">
        <v>42100013</v>
      </c>
      <c r="C67" s="105">
        <v>100000</v>
      </c>
      <c r="D67" s="111">
        <v>44153.95</v>
      </c>
    </row>
    <row r="68" spans="1:4" ht="20.25" customHeight="1">
      <c r="A68" s="20" t="s">
        <v>138</v>
      </c>
      <c r="B68" s="104">
        <v>42100015</v>
      </c>
      <c r="C68" s="105">
        <v>1973500</v>
      </c>
      <c r="D68" s="111">
        <v>1147095</v>
      </c>
    </row>
    <row r="69" spans="1:4" ht="20.25" customHeight="1">
      <c r="A69" s="115" t="s">
        <v>53</v>
      </c>
      <c r="B69" s="104"/>
      <c r="C69" s="107">
        <f>SUM(C61:C68)</f>
        <v>26133500</v>
      </c>
      <c r="D69" s="112">
        <f>SUM(D61:D68)</f>
        <v>16942340.59</v>
      </c>
    </row>
    <row r="70" spans="1:4" ht="20.25" customHeight="1">
      <c r="A70" s="153" t="s">
        <v>48</v>
      </c>
      <c r="B70" s="104">
        <v>43000000</v>
      </c>
      <c r="C70" s="98"/>
      <c r="D70" s="111"/>
    </row>
    <row r="71" spans="1:4" ht="20.25" customHeight="1">
      <c r="A71" s="170" t="s">
        <v>96</v>
      </c>
      <c r="B71" s="104">
        <v>43100000</v>
      </c>
      <c r="C71" s="98"/>
      <c r="D71" s="111"/>
    </row>
    <row r="72" spans="1:4" ht="20.25" customHeight="1">
      <c r="A72" s="97" t="s">
        <v>9</v>
      </c>
      <c r="B72" s="104">
        <v>43100002</v>
      </c>
      <c r="C72" s="105">
        <v>32000000</v>
      </c>
      <c r="D72" s="111">
        <v>27222402.64</v>
      </c>
    </row>
    <row r="73" spans="1:4" ht="20.25" customHeight="1">
      <c r="A73" s="115" t="s">
        <v>53</v>
      </c>
      <c r="B73" s="104"/>
      <c r="C73" s="107">
        <f>SUM(C70:C72)</f>
        <v>32000000</v>
      </c>
      <c r="D73" s="112">
        <f>SUM(D70:D72)</f>
        <v>27222402.64</v>
      </c>
    </row>
    <row r="74" spans="1:4" ht="20.25" customHeight="1" hidden="1">
      <c r="A74" s="153" t="s">
        <v>209</v>
      </c>
      <c r="B74" s="104">
        <v>44000000</v>
      </c>
      <c r="C74" s="105"/>
      <c r="D74" s="113"/>
    </row>
    <row r="75" spans="1:4" ht="20.25" customHeight="1" hidden="1">
      <c r="A75" s="170" t="s">
        <v>196</v>
      </c>
      <c r="B75" s="104">
        <v>44100000</v>
      </c>
      <c r="C75" s="105"/>
      <c r="D75" s="113"/>
    </row>
    <row r="76" spans="1:4" ht="20.25" customHeight="1">
      <c r="A76" s="97" t="s">
        <v>151</v>
      </c>
      <c r="B76" s="104">
        <v>44100001</v>
      </c>
      <c r="C76" s="105"/>
      <c r="D76" s="113"/>
    </row>
    <row r="77" spans="1:4" ht="20.25" customHeight="1">
      <c r="A77" s="198" t="s">
        <v>161</v>
      </c>
      <c r="B77" s="104">
        <v>44100001</v>
      </c>
      <c r="C77" s="105"/>
      <c r="D77" s="113"/>
    </row>
    <row r="78" spans="1:4" ht="20.25" customHeight="1">
      <c r="A78" s="198" t="s">
        <v>162</v>
      </c>
      <c r="B78" s="104">
        <v>44100001</v>
      </c>
      <c r="C78" s="105"/>
      <c r="D78" s="113"/>
    </row>
    <row r="79" spans="1:4" ht="20.25" customHeight="1">
      <c r="A79" s="198" t="s">
        <v>236</v>
      </c>
      <c r="B79" s="104">
        <v>44100001</v>
      </c>
      <c r="C79" s="105">
        <v>0</v>
      </c>
      <c r="D79" s="113">
        <v>30000</v>
      </c>
    </row>
    <row r="80" spans="1:4" ht="18" customHeight="1">
      <c r="A80" s="198" t="s">
        <v>379</v>
      </c>
      <c r="B80" s="104">
        <v>44100001</v>
      </c>
      <c r="C80" s="105">
        <v>0</v>
      </c>
      <c r="D80" s="113">
        <v>621000</v>
      </c>
    </row>
    <row r="81" spans="1:4" ht="18.75" customHeight="1" thickBot="1">
      <c r="A81" s="125" t="s">
        <v>53</v>
      </c>
      <c r="B81" s="121"/>
      <c r="C81" s="107">
        <f>SUM(C75:C78)</f>
        <v>0</v>
      </c>
      <c r="D81" s="114">
        <f>SUM(D74:D80)</f>
        <v>651000</v>
      </c>
    </row>
    <row r="82" spans="1:4" ht="15" customHeight="1" hidden="1">
      <c r="A82" s="120" t="s">
        <v>209</v>
      </c>
      <c r="B82" s="104">
        <v>440000</v>
      </c>
      <c r="C82" s="106"/>
      <c r="D82" s="113"/>
    </row>
    <row r="83" spans="1:4" ht="15" customHeight="1" hidden="1">
      <c r="A83" s="99" t="s">
        <v>5</v>
      </c>
      <c r="B83" s="104">
        <v>441000</v>
      </c>
      <c r="C83" s="106"/>
      <c r="D83" s="113"/>
    </row>
    <row r="84" spans="1:4" ht="15" customHeight="1" hidden="1">
      <c r="A84" s="7" t="s">
        <v>6</v>
      </c>
      <c r="B84" s="104">
        <v>441001</v>
      </c>
      <c r="C84" s="105"/>
      <c r="D84" s="113"/>
    </row>
    <row r="85" spans="1:4" ht="15" customHeight="1" hidden="1">
      <c r="A85" s="7" t="s">
        <v>224</v>
      </c>
      <c r="B85" s="104">
        <v>441001</v>
      </c>
      <c r="C85" s="105"/>
      <c r="D85" s="113"/>
    </row>
    <row r="86" spans="1:4" ht="15" customHeight="1" hidden="1">
      <c r="A86" s="7" t="s">
        <v>229</v>
      </c>
      <c r="B86" s="104">
        <v>441001</v>
      </c>
      <c r="C86" s="105"/>
      <c r="D86" s="113"/>
    </row>
    <row r="87" spans="1:4" ht="15" customHeight="1" hidden="1">
      <c r="A87" s="7" t="s">
        <v>230</v>
      </c>
      <c r="B87" s="104">
        <v>441001</v>
      </c>
      <c r="C87" s="105"/>
      <c r="D87" s="113"/>
    </row>
    <row r="88" spans="1:4" ht="15" customHeight="1" hidden="1">
      <c r="A88" s="7" t="s">
        <v>231</v>
      </c>
      <c r="B88" s="104">
        <v>441001</v>
      </c>
      <c r="C88" s="105"/>
      <c r="D88" s="113"/>
    </row>
    <row r="89" spans="1:4" ht="15" customHeight="1" hidden="1">
      <c r="A89" s="7" t="s">
        <v>232</v>
      </c>
      <c r="B89" s="104">
        <v>441001</v>
      </c>
      <c r="C89" s="105"/>
      <c r="D89" s="113"/>
    </row>
    <row r="90" spans="1:4" ht="15" customHeight="1" hidden="1">
      <c r="A90" s="7" t="s">
        <v>233</v>
      </c>
      <c r="B90" s="104">
        <v>441001</v>
      </c>
      <c r="C90" s="105"/>
      <c r="D90" s="113"/>
    </row>
    <row r="91" spans="1:4" ht="15" customHeight="1" hidden="1">
      <c r="A91" s="7" t="s">
        <v>234</v>
      </c>
      <c r="B91" s="104">
        <v>441001</v>
      </c>
      <c r="C91" s="105"/>
      <c r="D91" s="113"/>
    </row>
    <row r="92" spans="1:4" ht="15" customHeight="1" hidden="1">
      <c r="A92" s="7" t="s">
        <v>235</v>
      </c>
      <c r="B92" s="104">
        <v>441001</v>
      </c>
      <c r="C92" s="105"/>
      <c r="D92" s="113"/>
    </row>
    <row r="93" spans="1:4" ht="16.5" customHeight="1" hidden="1">
      <c r="A93" s="7" t="s">
        <v>14</v>
      </c>
      <c r="B93" s="104">
        <v>441001</v>
      </c>
      <c r="C93" s="106"/>
      <c r="D93" s="113"/>
    </row>
    <row r="94" spans="1:4" ht="23.25" customHeight="1" hidden="1">
      <c r="A94" s="7" t="s">
        <v>15</v>
      </c>
      <c r="B94" s="104">
        <v>441001</v>
      </c>
      <c r="C94" s="106"/>
      <c r="D94" s="113"/>
    </row>
    <row r="95" spans="1:4" ht="20.25" customHeight="1" hidden="1">
      <c r="A95" s="7" t="s">
        <v>16</v>
      </c>
      <c r="B95" s="104">
        <v>441001</v>
      </c>
      <c r="C95" s="106"/>
      <c r="D95" s="113"/>
    </row>
    <row r="96" spans="1:4" ht="20.25" customHeight="1" hidden="1">
      <c r="A96" s="7"/>
      <c r="B96" s="104"/>
      <c r="C96" s="106"/>
      <c r="D96" s="113"/>
    </row>
    <row r="97" spans="1:4" ht="20.25" customHeight="1" hidden="1" thickBot="1">
      <c r="A97" s="115" t="s">
        <v>53</v>
      </c>
      <c r="B97" s="104"/>
      <c r="C97" s="116">
        <f>SUM(C83:C95)</f>
        <v>0</v>
      </c>
      <c r="D97" s="117">
        <f>SUM(D84:D96)</f>
        <v>0</v>
      </c>
    </row>
    <row r="98" spans="1:4" ht="20.25" customHeight="1" thickBot="1" thickTop="1">
      <c r="A98" s="118" t="s">
        <v>133</v>
      </c>
      <c r="B98" s="119"/>
      <c r="C98" s="187">
        <f>C13+C34+C39+C52+C58+C69+C73+C81</f>
        <v>61000000</v>
      </c>
      <c r="D98" s="188">
        <f>D13+D34+D39+D52+D58+D69+D73+D81</f>
        <v>47793345.28</v>
      </c>
    </row>
    <row r="99" spans="1:4" ht="20.25" customHeight="1" thickTop="1">
      <c r="A99" s="95"/>
      <c r="B99" s="95"/>
      <c r="C99" s="95"/>
      <c r="D99" s="96"/>
    </row>
    <row r="100" spans="1:4" ht="20.25" customHeight="1">
      <c r="A100" s="95"/>
      <c r="B100" s="95"/>
      <c r="C100" s="95"/>
      <c r="D100" s="96"/>
    </row>
    <row r="101" spans="1:4" ht="20.25" customHeight="1">
      <c r="A101" s="95"/>
      <c r="B101" s="95"/>
      <c r="C101" s="95"/>
      <c r="D101" s="96"/>
    </row>
    <row r="102" spans="1:4" ht="20.25" customHeight="1">
      <c r="A102" s="95"/>
      <c r="B102" s="95"/>
      <c r="C102" s="95"/>
      <c r="D102" s="96"/>
    </row>
    <row r="103" spans="1:4" ht="20.25" customHeight="1">
      <c r="A103" s="95"/>
      <c r="B103" s="95"/>
      <c r="C103" s="95"/>
      <c r="D103" s="96"/>
    </row>
    <row r="104" spans="1:4" ht="21.75">
      <c r="A104" s="95"/>
      <c r="B104" s="95"/>
      <c r="C104" s="95"/>
      <c r="D104" s="96"/>
    </row>
    <row r="105" spans="1:4" ht="22.5">
      <c r="A105" s="300" t="s">
        <v>165</v>
      </c>
      <c r="B105" s="300"/>
      <c r="C105" s="300"/>
      <c r="D105" s="300"/>
    </row>
    <row r="106" spans="1:4" ht="22.5">
      <c r="A106" s="299" t="s">
        <v>166</v>
      </c>
      <c r="B106" s="299"/>
      <c r="C106" s="299"/>
      <c r="D106" s="299"/>
    </row>
  </sheetData>
  <sheetProtection/>
  <mergeCells count="7">
    <mergeCell ref="A105:D105"/>
    <mergeCell ref="A106:D106"/>
    <mergeCell ref="A46:D46"/>
    <mergeCell ref="A2:D2"/>
    <mergeCell ref="A3:D3"/>
    <mergeCell ref="A4:D4"/>
    <mergeCell ref="A45:D45"/>
  </mergeCells>
  <printOptions/>
  <pageMargins left="0.28" right="0" top="0" bottom="0" header="0.31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SheetLayoutView="100" zoomScalePageLayoutView="0" workbookViewId="0" topLeftCell="A64">
      <selection activeCell="E82" sqref="E82"/>
    </sheetView>
  </sheetViews>
  <sheetFormatPr defaultColWidth="9.140625" defaultRowHeight="21.75"/>
  <cols>
    <col min="1" max="1" width="13.140625" style="0" customWidth="1"/>
    <col min="2" max="2" width="11.7109375" style="0" customWidth="1"/>
    <col min="3" max="3" width="12.140625" style="0" customWidth="1"/>
    <col min="4" max="4" width="13.00390625" style="0" customWidth="1"/>
    <col min="5" max="5" width="37.421875" style="0" customWidth="1"/>
    <col min="6" max="6" width="8.140625" style="0" customWidth="1"/>
    <col min="7" max="7" width="15.57421875" style="0" customWidth="1"/>
    <col min="8" max="8" width="12.421875" style="0" customWidth="1"/>
  </cols>
  <sheetData>
    <row r="1" spans="1:7" ht="23.25" hidden="1">
      <c r="A1" s="32" t="s">
        <v>120</v>
      </c>
      <c r="B1" s="32"/>
      <c r="C1" s="32"/>
      <c r="D1" s="32"/>
      <c r="E1" s="6"/>
      <c r="F1" s="6"/>
      <c r="G1" s="33"/>
    </row>
    <row r="2" spans="1:7" ht="23.25" hidden="1">
      <c r="A2" s="32" t="s">
        <v>143</v>
      </c>
      <c r="B2" s="32"/>
      <c r="C2" s="32"/>
      <c r="D2" s="32"/>
      <c r="E2" s="6"/>
      <c r="F2" s="6"/>
      <c r="G2" s="33"/>
    </row>
    <row r="3" spans="1:7" ht="19.5" customHeight="1" hidden="1">
      <c r="A3" s="6"/>
      <c r="B3" s="6"/>
      <c r="C3" s="6"/>
      <c r="D3" s="6"/>
      <c r="E3" s="6"/>
      <c r="F3" s="6"/>
      <c r="G3" s="33"/>
    </row>
    <row r="4" spans="1:7" ht="19.5" customHeight="1" hidden="1">
      <c r="A4" s="33"/>
      <c r="B4" s="33"/>
      <c r="C4" s="33"/>
      <c r="D4" s="33"/>
      <c r="E4" s="33"/>
      <c r="F4" s="306" t="s">
        <v>49</v>
      </c>
      <c r="G4" s="306"/>
    </row>
    <row r="5" spans="1:7" ht="20.25" customHeight="1">
      <c r="A5" s="307" t="s">
        <v>0</v>
      </c>
      <c r="B5" s="307"/>
      <c r="C5" s="307"/>
      <c r="D5" s="307"/>
      <c r="E5" s="307"/>
      <c r="F5" s="307"/>
      <c r="G5" s="307"/>
    </row>
    <row r="6" spans="1:7" ht="20.25" customHeight="1">
      <c r="A6" s="308" t="s">
        <v>210</v>
      </c>
      <c r="B6" s="308"/>
      <c r="C6" s="308"/>
      <c r="D6" s="308"/>
      <c r="E6" s="308"/>
      <c r="F6" s="308"/>
      <c r="G6" s="308"/>
    </row>
    <row r="7" spans="1:7" ht="20.25" customHeight="1">
      <c r="A7" s="309" t="s">
        <v>400</v>
      </c>
      <c r="B7" s="309"/>
      <c r="C7" s="309"/>
      <c r="D7" s="309"/>
      <c r="E7" s="309"/>
      <c r="F7" s="309"/>
      <c r="G7" s="309"/>
    </row>
    <row r="8" spans="1:7" ht="20.25" customHeight="1" thickBot="1">
      <c r="A8" s="33"/>
      <c r="B8" s="33"/>
      <c r="C8" s="33"/>
      <c r="D8" s="33"/>
      <c r="E8" s="33"/>
      <c r="F8" s="33"/>
      <c r="G8" s="33"/>
    </row>
    <row r="9" spans="1:7" ht="26.25" customHeight="1">
      <c r="A9" s="303" t="s">
        <v>168</v>
      </c>
      <c r="B9" s="304"/>
      <c r="C9" s="304"/>
      <c r="D9" s="305"/>
      <c r="E9" s="24"/>
      <c r="F9" s="24"/>
      <c r="G9" s="138" t="s">
        <v>171</v>
      </c>
    </row>
    <row r="10" spans="1:7" ht="26.25" customHeight="1">
      <c r="A10" s="134" t="s">
        <v>94</v>
      </c>
      <c r="B10" s="141" t="s">
        <v>54</v>
      </c>
      <c r="C10" s="135" t="s">
        <v>53</v>
      </c>
      <c r="D10" s="135" t="s">
        <v>95</v>
      </c>
      <c r="E10" s="25" t="s">
        <v>110</v>
      </c>
      <c r="F10" s="25" t="s">
        <v>35</v>
      </c>
      <c r="G10" s="133" t="s">
        <v>178</v>
      </c>
    </row>
    <row r="11" spans="1:7" ht="26.25" customHeight="1">
      <c r="A11" s="136" t="s">
        <v>56</v>
      </c>
      <c r="B11" s="142" t="s">
        <v>55</v>
      </c>
      <c r="C11" s="25" t="s">
        <v>56</v>
      </c>
      <c r="D11" s="25" t="s">
        <v>56</v>
      </c>
      <c r="E11" s="25"/>
      <c r="F11" s="25"/>
      <c r="G11" s="133" t="s">
        <v>57</v>
      </c>
    </row>
    <row r="12" spans="1:7" ht="26.25" customHeight="1">
      <c r="A12" s="137"/>
      <c r="B12" s="143" t="s">
        <v>167</v>
      </c>
      <c r="C12" s="26"/>
      <c r="D12" s="26"/>
      <c r="E12" s="26"/>
      <c r="F12" s="26"/>
      <c r="G12" s="34" t="s">
        <v>56</v>
      </c>
    </row>
    <row r="13" spans="1:7" ht="21.75" customHeight="1">
      <c r="A13" s="35"/>
      <c r="B13" s="126"/>
      <c r="C13" s="126"/>
      <c r="D13" s="157">
        <v>84351682.37</v>
      </c>
      <c r="E13" s="12" t="s">
        <v>179</v>
      </c>
      <c r="F13" s="12"/>
      <c r="G13" s="158">
        <v>88267252.6</v>
      </c>
    </row>
    <row r="14" spans="1:7" ht="21.75" customHeight="1">
      <c r="A14" s="37"/>
      <c r="B14" s="127"/>
      <c r="C14" s="127"/>
      <c r="D14" s="38"/>
      <c r="E14" s="13" t="s">
        <v>207</v>
      </c>
      <c r="F14" s="10"/>
      <c r="G14" s="39"/>
    </row>
    <row r="15" spans="1:7" ht="21.75" customHeight="1">
      <c r="A15" s="40">
        <v>1325000</v>
      </c>
      <c r="B15" s="128">
        <v>0</v>
      </c>
      <c r="C15" s="128">
        <f>A15+B15</f>
        <v>1325000</v>
      </c>
      <c r="D15" s="41">
        <f>20147.55+6210+12978.65+100807.85+360778.3+210347.85+243160.3</f>
        <v>954430.5</v>
      </c>
      <c r="E15" s="10" t="s">
        <v>69</v>
      </c>
      <c r="F15" s="42">
        <v>41100000</v>
      </c>
      <c r="G15" s="39">
        <v>243160.3</v>
      </c>
    </row>
    <row r="16" spans="1:7" ht="21.75" customHeight="1">
      <c r="A16" s="40">
        <v>321300</v>
      </c>
      <c r="B16" s="128">
        <v>0</v>
      </c>
      <c r="C16" s="128">
        <f aca="true" t="shared" si="0" ref="C16:C21">A16+B16</f>
        <v>321300</v>
      </c>
      <c r="D16" s="41">
        <f>178788+21139.1+270919.5+37885.8+32361.9+851794+2868.9</f>
        <v>1395757.1999999997</v>
      </c>
      <c r="E16" s="10" t="s">
        <v>172</v>
      </c>
      <c r="F16" s="42">
        <v>41200000</v>
      </c>
      <c r="G16" s="39">
        <v>2868.9</v>
      </c>
    </row>
    <row r="17" spans="1:7" ht="21.75" customHeight="1">
      <c r="A17" s="40">
        <v>725000</v>
      </c>
      <c r="B17" s="128">
        <v>0</v>
      </c>
      <c r="C17" s="128">
        <f t="shared" si="0"/>
        <v>725000</v>
      </c>
      <c r="D17" s="41">
        <f>2552.82+2565+25511.08+240856.09+26763.82+69303.54+2040</f>
        <v>369592.35</v>
      </c>
      <c r="E17" s="10" t="s">
        <v>173</v>
      </c>
      <c r="F17" s="42">
        <v>41300000</v>
      </c>
      <c r="G17" s="39">
        <v>2040</v>
      </c>
    </row>
    <row r="18" spans="1:7" ht="21.75" customHeight="1">
      <c r="A18" s="43">
        <v>300000</v>
      </c>
      <c r="B18" s="129">
        <v>0</v>
      </c>
      <c r="C18" s="128">
        <f t="shared" si="0"/>
        <v>300000</v>
      </c>
      <c r="D18" s="41">
        <f>0+29894+21113+21968+17065+24424+33658</f>
        <v>148122</v>
      </c>
      <c r="E18" s="10" t="s">
        <v>174</v>
      </c>
      <c r="F18" s="42">
        <v>41400000</v>
      </c>
      <c r="G18" s="39">
        <v>33658</v>
      </c>
    </row>
    <row r="19" spans="1:7" ht="21.75" customHeight="1">
      <c r="A19" s="40">
        <v>195200</v>
      </c>
      <c r="B19" s="128">
        <v>0</v>
      </c>
      <c r="C19" s="128">
        <f t="shared" si="0"/>
        <v>195200</v>
      </c>
      <c r="D19" s="41">
        <f>2200+3800+17600+3600+7200+50350+24950</f>
        <v>109700</v>
      </c>
      <c r="E19" s="10" t="s">
        <v>175</v>
      </c>
      <c r="F19" s="42">
        <v>41500000</v>
      </c>
      <c r="G19" s="39">
        <v>24950</v>
      </c>
    </row>
    <row r="20" spans="1:7" ht="21.75" customHeight="1">
      <c r="A20" s="40">
        <v>26133500</v>
      </c>
      <c r="B20" s="128">
        <v>0</v>
      </c>
      <c r="C20" s="128">
        <f t="shared" si="0"/>
        <v>26133500</v>
      </c>
      <c r="D20" s="41">
        <f>2227188.6+2544897.77+2568928.21+907186.28+2408531.47+3823762.85+2461845.41</f>
        <v>16942340.59</v>
      </c>
      <c r="E20" s="10" t="s">
        <v>176</v>
      </c>
      <c r="F20" s="42">
        <v>42100000</v>
      </c>
      <c r="G20" s="39">
        <v>2461845.41</v>
      </c>
    </row>
    <row r="21" spans="1:7" ht="21.75" customHeight="1">
      <c r="A21" s="149">
        <v>32000000</v>
      </c>
      <c r="B21" s="150">
        <v>0</v>
      </c>
      <c r="C21" s="150">
        <f t="shared" si="0"/>
        <v>32000000</v>
      </c>
      <c r="D21" s="151">
        <f>10952045+9707533.64+1126244+5436580</f>
        <v>27222402.64</v>
      </c>
      <c r="E21" s="122" t="s">
        <v>158</v>
      </c>
      <c r="F21" s="45">
        <v>43100000</v>
      </c>
      <c r="G21" s="64">
        <v>5436580</v>
      </c>
    </row>
    <row r="22" spans="1:7" ht="21.75" customHeight="1" thickBot="1">
      <c r="A22" s="190">
        <f>SUM(A15:A21)</f>
        <v>61000000</v>
      </c>
      <c r="B22" s="196">
        <f>SUM(B15:B21)</f>
        <v>0</v>
      </c>
      <c r="C22" s="196">
        <f>SUM(C15:C21)</f>
        <v>61000000</v>
      </c>
      <c r="D22" s="173">
        <f>SUM(D15:D21)</f>
        <v>47142345.28</v>
      </c>
      <c r="E22" s="122"/>
      <c r="F22" s="45"/>
      <c r="G22" s="174">
        <f>SUM(G15:G21)</f>
        <v>8205102.61</v>
      </c>
    </row>
    <row r="23" spans="1:7" ht="21.75" customHeight="1" thickBot="1" thickTop="1">
      <c r="A23" s="193">
        <v>0</v>
      </c>
      <c r="B23" s="194">
        <f>30000+621000</f>
        <v>651000</v>
      </c>
      <c r="C23" s="194">
        <f>A23+B23</f>
        <v>651000</v>
      </c>
      <c r="D23" s="195">
        <f>30000+621000</f>
        <v>651000</v>
      </c>
      <c r="E23" s="203" t="s">
        <v>92</v>
      </c>
      <c r="F23" s="45">
        <v>44100001</v>
      </c>
      <c r="G23" s="197">
        <v>0</v>
      </c>
    </row>
    <row r="24" spans="1:7" ht="21.75" customHeight="1" thickBot="1" thickTop="1">
      <c r="A24" s="192">
        <f>SUM(A22:A23)</f>
        <v>61000000</v>
      </c>
      <c r="B24" s="201">
        <f>SUM(B15:B23)</f>
        <v>651000</v>
      </c>
      <c r="C24" s="201">
        <f>SUM(C22:C23)</f>
        <v>61651000</v>
      </c>
      <c r="D24" s="200">
        <f>SUM(D22:D23)</f>
        <v>47793345.28</v>
      </c>
      <c r="E24" s="148"/>
      <c r="F24" s="202"/>
      <c r="G24" s="269">
        <f>SUM(G22:G23)</f>
        <v>8205102.61</v>
      </c>
    </row>
    <row r="25" spans="1:7" ht="21.75" customHeight="1" thickTop="1">
      <c r="A25" s="139"/>
      <c r="B25" s="139"/>
      <c r="C25" s="140"/>
      <c r="D25" s="172">
        <f>0+3000+20300+22500+37670+48615+199100</f>
        <v>331185</v>
      </c>
      <c r="E25" s="10" t="s">
        <v>3</v>
      </c>
      <c r="F25" s="42">
        <v>11041000</v>
      </c>
      <c r="G25" s="83">
        <v>199100</v>
      </c>
    </row>
    <row r="26" spans="1:7" ht="21.75" customHeight="1">
      <c r="A26" s="49"/>
      <c r="B26" s="49"/>
      <c r="C26" s="49"/>
      <c r="D26" s="44">
        <f>0+625756+3200000+496000</f>
        <v>4321756</v>
      </c>
      <c r="E26" s="10" t="s">
        <v>204</v>
      </c>
      <c r="F26" s="42">
        <v>11042000</v>
      </c>
      <c r="G26" s="48">
        <v>0</v>
      </c>
    </row>
    <row r="27" spans="1:7" ht="21.75" customHeight="1">
      <c r="A27" s="49"/>
      <c r="B27" s="49"/>
      <c r="C27" s="49"/>
      <c r="D27" s="44">
        <f>7454.65+4130.6+3154.95+2413.95+7049+2399.7+2567.85</f>
        <v>29170.7</v>
      </c>
      <c r="E27" s="10" t="s">
        <v>139</v>
      </c>
      <c r="F27" s="42">
        <v>11043002</v>
      </c>
      <c r="G27" s="48">
        <v>2567.85</v>
      </c>
    </row>
    <row r="28" spans="1:7" ht="21.75" customHeight="1">
      <c r="A28" s="49"/>
      <c r="B28" s="49"/>
      <c r="C28" s="49"/>
      <c r="D28" s="44">
        <f>24462+5844</f>
        <v>30306</v>
      </c>
      <c r="E28" s="10" t="s">
        <v>238</v>
      </c>
      <c r="F28" s="42">
        <v>11044000</v>
      </c>
      <c r="G28" s="48">
        <v>0</v>
      </c>
    </row>
    <row r="29" spans="1:7" ht="21.75" customHeight="1">
      <c r="A29" s="49"/>
      <c r="B29" s="49"/>
      <c r="C29" s="49"/>
      <c r="D29" s="44">
        <f>13000</f>
        <v>13000</v>
      </c>
      <c r="E29" s="10" t="s">
        <v>159</v>
      </c>
      <c r="F29" s="42">
        <v>11069999</v>
      </c>
      <c r="G29" s="48">
        <v>0</v>
      </c>
    </row>
    <row r="30" spans="1:7" ht="21.75" customHeight="1">
      <c r="A30" s="49"/>
      <c r="B30" s="49"/>
      <c r="C30" s="49"/>
      <c r="D30" s="44">
        <f>0+165612+108800+116376</f>
        <v>390788</v>
      </c>
      <c r="E30" s="10" t="s">
        <v>376</v>
      </c>
      <c r="F30" s="42">
        <v>19030000</v>
      </c>
      <c r="G30" s="48">
        <v>0</v>
      </c>
    </row>
    <row r="31" spans="1:7" ht="21.75" customHeight="1" hidden="1">
      <c r="A31" s="49"/>
      <c r="B31" s="49"/>
      <c r="C31" s="49"/>
      <c r="D31" s="44">
        <f>0</f>
        <v>0</v>
      </c>
      <c r="E31" s="11" t="s">
        <v>122</v>
      </c>
      <c r="F31" s="42">
        <v>19040000</v>
      </c>
      <c r="G31" s="50">
        <v>0</v>
      </c>
    </row>
    <row r="32" spans="1:7" ht="21.75" customHeight="1">
      <c r="A32" s="49"/>
      <c r="B32" s="49"/>
      <c r="C32" s="49"/>
      <c r="D32" s="44">
        <f>0</f>
        <v>0</v>
      </c>
      <c r="E32" s="11" t="s">
        <v>1</v>
      </c>
      <c r="F32" s="42">
        <v>21030000</v>
      </c>
      <c r="G32" s="50">
        <v>0</v>
      </c>
    </row>
    <row r="33" spans="1:7" ht="21.75" customHeight="1">
      <c r="A33" s="51"/>
      <c r="B33" s="51"/>
      <c r="C33" s="51"/>
      <c r="D33" s="44">
        <f>0</f>
        <v>0</v>
      </c>
      <c r="E33" s="10" t="s">
        <v>107</v>
      </c>
      <c r="F33" s="45">
        <v>21010000</v>
      </c>
      <c r="G33" s="39">
        <v>0</v>
      </c>
    </row>
    <row r="34" spans="1:7" ht="21.75" customHeight="1">
      <c r="A34" s="51"/>
      <c r="B34" s="51"/>
      <c r="C34" s="51"/>
      <c r="D34" s="44">
        <f>117628.92+80556.77+173427.93+176197.86+150608.81+196418.24+88151.11</f>
        <v>982989.64</v>
      </c>
      <c r="E34" s="10" t="s">
        <v>187</v>
      </c>
      <c r="F34" s="42">
        <v>21040000</v>
      </c>
      <c r="G34" s="39">
        <v>88151.11</v>
      </c>
    </row>
    <row r="35" spans="1:7" ht="21.75" customHeight="1">
      <c r="A35" s="51"/>
      <c r="B35" s="51"/>
      <c r="C35" s="51"/>
      <c r="D35" s="52">
        <f>0</f>
        <v>0</v>
      </c>
      <c r="E35" s="10" t="s">
        <v>80</v>
      </c>
      <c r="F35" s="42">
        <v>29010000</v>
      </c>
      <c r="G35" s="64">
        <v>0</v>
      </c>
    </row>
    <row r="36" spans="1:7" ht="21.75" customHeight="1">
      <c r="A36" s="51"/>
      <c r="B36" s="51"/>
      <c r="C36" s="51"/>
      <c r="D36" s="144">
        <f>11780+15400</f>
        <v>27180</v>
      </c>
      <c r="E36" s="28" t="s">
        <v>68</v>
      </c>
      <c r="F36" s="94">
        <v>31000000</v>
      </c>
      <c r="G36" s="124">
        <v>15400</v>
      </c>
    </row>
    <row r="37" spans="1:7" ht="21.75" customHeight="1">
      <c r="A37" s="51"/>
      <c r="B37" s="51"/>
      <c r="C37" s="51"/>
      <c r="D37" s="54">
        <f>SUM(D25:D36)</f>
        <v>6126375.34</v>
      </c>
      <c r="E37" s="27"/>
      <c r="F37" s="57"/>
      <c r="G37" s="123">
        <f>SUM(G25:G36)</f>
        <v>305218.96</v>
      </c>
    </row>
    <row r="38" spans="1:7" ht="21.75" customHeight="1" thickBot="1">
      <c r="A38" s="51"/>
      <c r="B38" s="51"/>
      <c r="C38" s="51"/>
      <c r="D38" s="46">
        <f>D24+D37</f>
        <v>53919720.620000005</v>
      </c>
      <c r="E38" s="56" t="s">
        <v>180</v>
      </c>
      <c r="F38" s="57"/>
      <c r="G38" s="47">
        <f>G24+G37</f>
        <v>8510321.57</v>
      </c>
    </row>
    <row r="39" spans="1:7" ht="21.75" customHeight="1" thickTop="1">
      <c r="A39" s="51"/>
      <c r="B39" s="51"/>
      <c r="C39" s="51"/>
      <c r="D39" s="49"/>
      <c r="E39" s="71"/>
      <c r="F39" s="29"/>
      <c r="G39" s="81"/>
    </row>
    <row r="40" spans="1:7" ht="21.75" customHeight="1">
      <c r="A40" s="51"/>
      <c r="B40" s="51"/>
      <c r="C40" s="51"/>
      <c r="D40" s="49"/>
      <c r="E40" s="71"/>
      <c r="F40" s="29"/>
      <c r="G40" s="81"/>
    </row>
    <row r="41" spans="1:7" ht="21.75" customHeight="1">
      <c r="A41" s="51"/>
      <c r="B41" s="51"/>
      <c r="C41" s="51"/>
      <c r="D41" s="49"/>
      <c r="E41" s="71"/>
      <c r="F41" s="29"/>
      <c r="G41" s="81"/>
    </row>
    <row r="42" spans="1:7" ht="21.75" customHeight="1">
      <c r="A42" s="300" t="s">
        <v>165</v>
      </c>
      <c r="B42" s="300"/>
      <c r="C42" s="300"/>
      <c r="D42" s="300"/>
      <c r="E42" s="300"/>
      <c r="F42" s="300"/>
      <c r="G42" s="300"/>
    </row>
    <row r="43" spans="1:7" ht="21.75" customHeight="1" thickBot="1">
      <c r="A43" s="299" t="s">
        <v>166</v>
      </c>
      <c r="B43" s="299"/>
      <c r="C43" s="299"/>
      <c r="D43" s="299"/>
      <c r="E43" s="299"/>
      <c r="F43" s="299"/>
      <c r="G43" s="299"/>
    </row>
    <row r="44" spans="1:7" ht="21.75" customHeight="1">
      <c r="A44" s="303" t="s">
        <v>168</v>
      </c>
      <c r="B44" s="304"/>
      <c r="C44" s="304"/>
      <c r="D44" s="305"/>
      <c r="E44" s="24"/>
      <c r="F44" s="24"/>
      <c r="G44" s="138" t="s">
        <v>171</v>
      </c>
    </row>
    <row r="45" spans="1:7" ht="21.75" customHeight="1">
      <c r="A45" s="134" t="s">
        <v>94</v>
      </c>
      <c r="B45" s="141" t="s">
        <v>54</v>
      </c>
      <c r="C45" s="135" t="s">
        <v>53</v>
      </c>
      <c r="D45" s="135" t="s">
        <v>95</v>
      </c>
      <c r="E45" s="25" t="s">
        <v>110</v>
      </c>
      <c r="F45" s="25" t="s">
        <v>35</v>
      </c>
      <c r="G45" s="133" t="s">
        <v>178</v>
      </c>
    </row>
    <row r="46" spans="1:7" ht="21.75" customHeight="1">
      <c r="A46" s="136" t="s">
        <v>56</v>
      </c>
      <c r="B46" s="142" t="s">
        <v>55</v>
      </c>
      <c r="C46" s="25" t="s">
        <v>56</v>
      </c>
      <c r="D46" s="25" t="s">
        <v>56</v>
      </c>
      <c r="E46" s="25"/>
      <c r="F46" s="25"/>
      <c r="G46" s="133" t="s">
        <v>57</v>
      </c>
    </row>
    <row r="47" spans="1:7" ht="18" customHeight="1">
      <c r="A47" s="137"/>
      <c r="B47" s="143" t="s">
        <v>167</v>
      </c>
      <c r="C47" s="26"/>
      <c r="D47" s="26"/>
      <c r="E47" s="26"/>
      <c r="F47" s="26"/>
      <c r="G47" s="34" t="s">
        <v>56</v>
      </c>
    </row>
    <row r="48" spans="1:7" ht="21.75" customHeight="1">
      <c r="A48" s="58"/>
      <c r="B48" s="130"/>
      <c r="C48" s="130"/>
      <c r="D48" s="59"/>
      <c r="E48" s="14" t="s">
        <v>181</v>
      </c>
      <c r="F48" s="12"/>
      <c r="G48" s="36"/>
    </row>
    <row r="49" spans="1:7" ht="21.75" customHeight="1">
      <c r="A49" s="60">
        <f>16030965</f>
        <v>16030965</v>
      </c>
      <c r="B49" s="131">
        <v>0</v>
      </c>
      <c r="C49" s="131">
        <f>A49+B49</f>
        <v>16030965</v>
      </c>
      <c r="D49" s="91">
        <f>1188036+1931764.91+1201507+1793666+1466000+1216143+1191052</f>
        <v>9988168.91</v>
      </c>
      <c r="E49" s="10" t="s">
        <v>182</v>
      </c>
      <c r="F49" s="42">
        <v>51100000</v>
      </c>
      <c r="G49" s="39">
        <v>1191052</v>
      </c>
    </row>
    <row r="50" spans="1:7" ht="21.75" customHeight="1">
      <c r="A50" s="60">
        <f>2848320</f>
        <v>2848320</v>
      </c>
      <c r="B50" s="131">
        <v>0</v>
      </c>
      <c r="C50" s="131">
        <f aca="true" t="shared" si="1" ref="C50:C58">A50+B50</f>
        <v>2848320</v>
      </c>
      <c r="D50" s="91">
        <f>175250+175250+175250+175250+175250+175250+175250</f>
        <v>1226750</v>
      </c>
      <c r="E50" s="10" t="s">
        <v>144</v>
      </c>
      <c r="F50" s="42">
        <v>52100000</v>
      </c>
      <c r="G50" s="39">
        <v>175250</v>
      </c>
    </row>
    <row r="51" spans="1:7" ht="21.75" customHeight="1">
      <c r="A51" s="60">
        <f>12584352-300000+300000-50000+50000+15000</f>
        <v>12599352</v>
      </c>
      <c r="B51" s="131">
        <v>0</v>
      </c>
      <c r="C51" s="131">
        <f t="shared" si="1"/>
        <v>12599352</v>
      </c>
      <c r="D51" s="91">
        <f>858915+858915+928328.29+947831.5+956928.5+959815+959815</f>
        <v>6470548.29</v>
      </c>
      <c r="E51" s="10" t="s">
        <v>145</v>
      </c>
      <c r="F51" s="42">
        <v>52200000</v>
      </c>
      <c r="G51" s="39">
        <v>959815</v>
      </c>
    </row>
    <row r="52" spans="1:7" ht="21.75" customHeight="1">
      <c r="A52" s="60">
        <f>1568623-300000-15000-56000+56000</f>
        <v>1253623</v>
      </c>
      <c r="B52" s="131">
        <v>0</v>
      </c>
      <c r="C52" s="131">
        <f t="shared" si="1"/>
        <v>1253623</v>
      </c>
      <c r="D52" s="91">
        <f>8500+34100+2380+17000+61000+20820+8500</f>
        <v>152300</v>
      </c>
      <c r="E52" s="10" t="s">
        <v>183</v>
      </c>
      <c r="F52" s="42">
        <v>53100000</v>
      </c>
      <c r="G52" s="39">
        <v>8500</v>
      </c>
    </row>
    <row r="53" spans="1:7" ht="21.75" customHeight="1">
      <c r="A53" s="60">
        <f>6572180-20000+20000-10000+10000-45000+45000-100000+100000</f>
        <v>6572180</v>
      </c>
      <c r="B53" s="131">
        <v>0</v>
      </c>
      <c r="C53" s="131">
        <f t="shared" si="1"/>
        <v>6572180</v>
      </c>
      <c r="D53" s="92">
        <f>209395+38121.45+336971.36+348141.92+143258+108012.01+717142.79</f>
        <v>1901042.53</v>
      </c>
      <c r="E53" s="10" t="s">
        <v>184</v>
      </c>
      <c r="F53" s="42">
        <v>53200000</v>
      </c>
      <c r="G53" s="39">
        <v>717142.79</v>
      </c>
    </row>
    <row r="54" spans="1:7" ht="21.75" customHeight="1">
      <c r="A54" s="60">
        <f>4311860</f>
        <v>4311860</v>
      </c>
      <c r="B54" s="131">
        <v>0</v>
      </c>
      <c r="C54" s="131">
        <f t="shared" si="1"/>
        <v>4311860</v>
      </c>
      <c r="D54" s="91">
        <f>0+77817.23+86200.85+284112.05+134798+108656.58+92324.04</f>
        <v>783908.75</v>
      </c>
      <c r="E54" s="10" t="s">
        <v>185</v>
      </c>
      <c r="F54" s="42">
        <v>53300000</v>
      </c>
      <c r="G54" s="39">
        <v>92324.04</v>
      </c>
    </row>
    <row r="55" spans="1:7" ht="21.75" customHeight="1">
      <c r="A55" s="62">
        <f>797000</f>
        <v>797000</v>
      </c>
      <c r="B55" s="132">
        <v>0</v>
      </c>
      <c r="C55" s="131">
        <f t="shared" si="1"/>
        <v>797000</v>
      </c>
      <c r="D55" s="93">
        <f>52674.06+50889.7+822.6+98811.58+49630.19+46244.11+57049.07</f>
        <v>356121.31</v>
      </c>
      <c r="E55" s="10" t="s">
        <v>188</v>
      </c>
      <c r="F55" s="53">
        <v>53400000</v>
      </c>
      <c r="G55" s="64">
        <v>57049.07</v>
      </c>
    </row>
    <row r="56" spans="1:7" ht="21.75" customHeight="1">
      <c r="A56" s="62">
        <f>2117500+300000</f>
        <v>2417500</v>
      </c>
      <c r="B56" s="132">
        <v>0</v>
      </c>
      <c r="C56" s="131">
        <f t="shared" si="1"/>
        <v>2417500</v>
      </c>
      <c r="D56" s="93">
        <f>0+6500+27180+109682.49+113977.7+67300+426447.5</f>
        <v>751087.69</v>
      </c>
      <c r="E56" s="10" t="s">
        <v>190</v>
      </c>
      <c r="F56" s="53">
        <v>54100000</v>
      </c>
      <c r="G56" s="64">
        <v>426447.5</v>
      </c>
    </row>
    <row r="57" spans="1:7" ht="21.75" customHeight="1">
      <c r="A57" s="62">
        <f>11317200</f>
        <v>11317200</v>
      </c>
      <c r="B57" s="132">
        <v>0</v>
      </c>
      <c r="C57" s="131">
        <f t="shared" si="1"/>
        <v>11317200</v>
      </c>
      <c r="D57" s="93">
        <f>0</f>
        <v>0</v>
      </c>
      <c r="E57" s="10" t="s">
        <v>191</v>
      </c>
      <c r="F57" s="53">
        <v>54200000</v>
      </c>
      <c r="G57" s="64">
        <v>0</v>
      </c>
    </row>
    <row r="58" spans="1:7" ht="21.75" customHeight="1">
      <c r="A58" s="62">
        <f>2852000</f>
        <v>2852000</v>
      </c>
      <c r="B58" s="132">
        <v>0</v>
      </c>
      <c r="C58" s="132">
        <f t="shared" si="1"/>
        <v>2852000</v>
      </c>
      <c r="D58" s="63">
        <f>0+1292000+30000</f>
        <v>1322000</v>
      </c>
      <c r="E58" s="10" t="s">
        <v>189</v>
      </c>
      <c r="F58" s="53">
        <v>56100000</v>
      </c>
      <c r="G58" s="64">
        <v>30000</v>
      </c>
    </row>
    <row r="59" spans="1:7" ht="21.75" customHeight="1" thickBot="1">
      <c r="A59" s="175">
        <f>SUM(A49:A58)</f>
        <v>61000000</v>
      </c>
      <c r="B59" s="176">
        <f>SUM(B49:B58)</f>
        <v>0</v>
      </c>
      <c r="C59" s="176">
        <f>SUM(C49:C58)</f>
        <v>61000000</v>
      </c>
      <c r="D59" s="177">
        <f>SUM(D49:D58)</f>
        <v>22951927.48</v>
      </c>
      <c r="E59" s="10"/>
      <c r="F59" s="42"/>
      <c r="G59" s="174">
        <f>SUM(G49:G58)</f>
        <v>3657580.4</v>
      </c>
    </row>
    <row r="60" spans="1:7" ht="21.75" customHeight="1" thickTop="1">
      <c r="A60" s="270">
        <v>0</v>
      </c>
      <c r="B60" s="271">
        <v>30000</v>
      </c>
      <c r="C60" s="271">
        <f>SUM(A60:B60)</f>
        <v>30000</v>
      </c>
      <c r="D60" s="271">
        <f>0+30000</f>
        <v>30000</v>
      </c>
      <c r="E60" s="10" t="s">
        <v>380</v>
      </c>
      <c r="F60" s="68">
        <v>54100000</v>
      </c>
      <c r="G60" s="272">
        <v>0</v>
      </c>
    </row>
    <row r="61" spans="1:7" ht="21.75" customHeight="1" thickBot="1">
      <c r="A61" s="273">
        <v>0</v>
      </c>
      <c r="B61" s="274">
        <v>621000</v>
      </c>
      <c r="C61" s="274">
        <f>SUM(A61:B61)</f>
        <v>621000</v>
      </c>
      <c r="D61" s="275">
        <f>621000</f>
        <v>621000</v>
      </c>
      <c r="E61" s="10" t="s">
        <v>385</v>
      </c>
      <c r="F61" s="276">
        <v>54200000</v>
      </c>
      <c r="G61" s="48">
        <v>0</v>
      </c>
    </row>
    <row r="62" spans="1:7" ht="21.75" customHeight="1" thickBot="1" thickTop="1">
      <c r="A62" s="265">
        <f>SUM(A59:A60)</f>
        <v>61000000</v>
      </c>
      <c r="B62" s="266">
        <f>SUM(B52:B60)</f>
        <v>30000</v>
      </c>
      <c r="C62" s="266">
        <f>SUM(C59:C61)</f>
        <v>61651000</v>
      </c>
      <c r="D62" s="200">
        <f>SUM(D59:D61)</f>
        <v>23602927.48</v>
      </c>
      <c r="E62" s="148"/>
      <c r="F62" s="202"/>
      <c r="G62" s="269">
        <f>SUM(G59:G61)</f>
        <v>3657580.4</v>
      </c>
    </row>
    <row r="63" spans="1:7" ht="21.75" customHeight="1" thickTop="1">
      <c r="A63" s="186"/>
      <c r="B63" s="186"/>
      <c r="C63" s="186"/>
      <c r="D63" s="61">
        <f>0+1674593.91</f>
        <v>1674593.91</v>
      </c>
      <c r="E63" s="10" t="s">
        <v>214</v>
      </c>
      <c r="F63" s="68">
        <v>11032000</v>
      </c>
      <c r="G63" s="39">
        <v>0</v>
      </c>
    </row>
    <row r="64" spans="1:7" ht="21.75" customHeight="1">
      <c r="A64" s="66"/>
      <c r="B64" s="66"/>
      <c r="C64" s="66"/>
      <c r="D64" s="67">
        <f>3000+13500+6800+38300+134920+134665+100228</f>
        <v>431413</v>
      </c>
      <c r="E64" s="10" t="s">
        <v>4</v>
      </c>
      <c r="F64" s="42">
        <v>11041000</v>
      </c>
      <c r="G64" s="39">
        <v>100228</v>
      </c>
    </row>
    <row r="65" spans="1:7" ht="21.75" customHeight="1" hidden="1">
      <c r="A65" s="66"/>
      <c r="B65" s="66"/>
      <c r="C65" s="66"/>
      <c r="D65" s="67">
        <f>0</f>
        <v>0</v>
      </c>
      <c r="E65" s="10" t="s">
        <v>198</v>
      </c>
      <c r="F65" s="68">
        <v>11042000</v>
      </c>
      <c r="G65" s="39"/>
    </row>
    <row r="66" spans="1:7" ht="21.75" customHeight="1" hidden="1">
      <c r="A66" s="66"/>
      <c r="B66" s="66"/>
      <c r="C66" s="66"/>
      <c r="D66" s="67">
        <f>0</f>
        <v>0</v>
      </c>
      <c r="E66" s="10" t="s">
        <v>215</v>
      </c>
      <c r="F66" s="45">
        <v>11043002</v>
      </c>
      <c r="G66" s="50"/>
    </row>
    <row r="67" spans="1:7" ht="21.75" customHeight="1" hidden="1">
      <c r="A67" s="66"/>
      <c r="B67" s="66"/>
      <c r="C67" s="66"/>
      <c r="D67" s="84">
        <f>0</f>
        <v>0</v>
      </c>
      <c r="E67" s="10" t="s">
        <v>163</v>
      </c>
      <c r="F67" s="75">
        <v>11044000</v>
      </c>
      <c r="G67" s="83">
        <v>0</v>
      </c>
    </row>
    <row r="68" spans="1:7" ht="21.75" customHeight="1" hidden="1">
      <c r="A68" s="66"/>
      <c r="B68" s="66"/>
      <c r="C68" s="66"/>
      <c r="D68" s="67">
        <f>0</f>
        <v>0</v>
      </c>
      <c r="E68" s="145" t="s">
        <v>164</v>
      </c>
      <c r="F68" s="199">
        <v>11069999</v>
      </c>
      <c r="G68" s="50">
        <v>0</v>
      </c>
    </row>
    <row r="69" spans="1:7" ht="21.75" customHeight="1">
      <c r="A69" s="66"/>
      <c r="B69" s="66"/>
      <c r="C69" s="66"/>
      <c r="D69" s="61">
        <f>0+165612+108800+116376</f>
        <v>390788</v>
      </c>
      <c r="E69" s="10" t="s">
        <v>376</v>
      </c>
      <c r="F69" s="42">
        <v>19030000</v>
      </c>
      <c r="G69" s="50">
        <v>0</v>
      </c>
    </row>
    <row r="70" spans="1:7" ht="21.75" customHeight="1">
      <c r="A70" s="66"/>
      <c r="B70" s="66"/>
      <c r="C70" s="66"/>
      <c r="D70" s="61">
        <f>0</f>
        <v>0</v>
      </c>
      <c r="E70" s="10" t="s">
        <v>79</v>
      </c>
      <c r="F70" s="68">
        <v>19040000</v>
      </c>
      <c r="G70" s="39">
        <v>0</v>
      </c>
    </row>
    <row r="71" spans="1:7" ht="21.75" customHeight="1">
      <c r="A71" s="66"/>
      <c r="B71" s="66"/>
      <c r="C71" s="66"/>
      <c r="D71" s="67">
        <f>0+2134254.1+1051554+625756+3200000+496000</f>
        <v>7507564.1</v>
      </c>
      <c r="E71" s="10" t="s">
        <v>401</v>
      </c>
      <c r="F71" s="45">
        <v>21010000</v>
      </c>
      <c r="G71" s="39">
        <v>0</v>
      </c>
    </row>
    <row r="72" spans="1:7" ht="21.75" customHeight="1">
      <c r="A72" s="66"/>
      <c r="B72" s="66"/>
      <c r="C72" s="66"/>
      <c r="D72" s="67">
        <f>354648.87+166030.1+140226.67+116076.32+142823.7+141545.07+103207.53</f>
        <v>1164558.26</v>
      </c>
      <c r="E72" s="11" t="s">
        <v>402</v>
      </c>
      <c r="F72" s="42">
        <v>21040000</v>
      </c>
      <c r="G72" s="39">
        <v>103207.53</v>
      </c>
    </row>
    <row r="73" spans="1:7" ht="21.75" customHeight="1">
      <c r="A73" s="66"/>
      <c r="B73" s="66"/>
      <c r="C73" s="66"/>
      <c r="D73" s="67">
        <f>0</f>
        <v>0</v>
      </c>
      <c r="E73" s="10" t="s">
        <v>123</v>
      </c>
      <c r="F73" s="42">
        <v>29010000</v>
      </c>
      <c r="G73" s="39">
        <v>0</v>
      </c>
    </row>
    <row r="74" spans="1:7" ht="21.75" customHeight="1">
      <c r="A74" s="66"/>
      <c r="B74" s="66"/>
      <c r="C74" s="66"/>
      <c r="D74" s="67">
        <f>3218000+216000+5189000+1960000</f>
        <v>10583000</v>
      </c>
      <c r="E74" s="28" t="s">
        <v>72</v>
      </c>
      <c r="F74" s="45">
        <v>31000000</v>
      </c>
      <c r="G74" s="39">
        <v>0</v>
      </c>
    </row>
    <row r="75" spans="1:7" ht="21.75" customHeight="1">
      <c r="A75" s="66"/>
      <c r="B75" s="66"/>
      <c r="C75" s="66"/>
      <c r="D75" s="69">
        <f>SUM(D63:D74)</f>
        <v>21751917.27</v>
      </c>
      <c r="E75" s="56"/>
      <c r="F75" s="55"/>
      <c r="G75" s="70">
        <f>SUM(G63:G74)</f>
        <v>203435.53</v>
      </c>
    </row>
    <row r="76" spans="1:7" ht="21.75" customHeight="1">
      <c r="A76" s="66"/>
      <c r="B76" s="66"/>
      <c r="C76" s="66"/>
      <c r="D76" s="69">
        <f>D62+D75</f>
        <v>45354844.75</v>
      </c>
      <c r="E76" s="71" t="s">
        <v>192</v>
      </c>
      <c r="F76" s="29"/>
      <c r="G76" s="70">
        <f>G62+G75</f>
        <v>3861015.9299999997</v>
      </c>
    </row>
    <row r="77" spans="1:7" ht="21.75" customHeight="1">
      <c r="A77" s="72"/>
      <c r="B77" s="72"/>
      <c r="C77" s="72"/>
      <c r="D77" s="73">
        <f>D38-D76</f>
        <v>8564875.870000005</v>
      </c>
      <c r="E77" s="74" t="s">
        <v>193</v>
      </c>
      <c r="F77" s="75"/>
      <c r="G77" s="76">
        <v>4649305.64</v>
      </c>
    </row>
    <row r="78" spans="1:7" ht="21.75" customHeight="1">
      <c r="A78" s="72"/>
      <c r="B78" s="72"/>
      <c r="C78" s="72"/>
      <c r="D78" s="77"/>
      <c r="E78" s="74" t="s">
        <v>194</v>
      </c>
      <c r="F78" s="78"/>
      <c r="G78" s="79"/>
    </row>
    <row r="79" spans="1:7" ht="21.75" customHeight="1">
      <c r="A79" s="72"/>
      <c r="B79" s="72"/>
      <c r="C79" s="72"/>
      <c r="D79" s="80"/>
      <c r="E79" s="74" t="s">
        <v>195</v>
      </c>
      <c r="F79" s="75"/>
      <c r="G79" s="152"/>
    </row>
    <row r="80" spans="1:7" ht="21.75" customHeight="1" thickBot="1">
      <c r="A80" s="72"/>
      <c r="B80" s="72"/>
      <c r="C80" s="72"/>
      <c r="D80" s="65">
        <f>D13+D38-D76</f>
        <v>92916558.24000001</v>
      </c>
      <c r="E80" s="74" t="s">
        <v>93</v>
      </c>
      <c r="F80" s="75"/>
      <c r="G80" s="47">
        <f>G13+G38-G76</f>
        <v>92916558.23999998</v>
      </c>
    </row>
    <row r="81" spans="1:7" ht="22.5" thickTop="1">
      <c r="A81" s="72"/>
      <c r="B81" s="72"/>
      <c r="C81" s="72"/>
      <c r="D81" s="81"/>
      <c r="E81" s="78"/>
      <c r="F81" s="78"/>
      <c r="G81" s="81"/>
    </row>
    <row r="82" spans="1:7" ht="21.75">
      <c r="A82" s="72"/>
      <c r="B82" s="72"/>
      <c r="C82" s="72"/>
      <c r="D82" s="81"/>
      <c r="E82" s="78"/>
      <c r="F82" s="78"/>
      <c r="G82" s="81"/>
    </row>
    <row r="83" spans="1:7" ht="21.75">
      <c r="A83" s="72"/>
      <c r="B83" s="72"/>
      <c r="C83" s="72"/>
      <c r="D83" s="81"/>
      <c r="E83" s="78"/>
      <c r="F83" s="78"/>
      <c r="G83" s="81"/>
    </row>
    <row r="84" spans="1:7" ht="21.75">
      <c r="A84" s="72"/>
      <c r="B84" s="72"/>
      <c r="C84" s="72"/>
      <c r="D84" s="81"/>
      <c r="E84" s="78"/>
      <c r="F84" s="78"/>
      <c r="G84" s="81"/>
    </row>
    <row r="85" spans="1:7" ht="22.5">
      <c r="A85" s="300" t="s">
        <v>165</v>
      </c>
      <c r="B85" s="300"/>
      <c r="C85" s="300"/>
      <c r="D85" s="300"/>
      <c r="E85" s="300"/>
      <c r="F85" s="300"/>
      <c r="G85" s="300"/>
    </row>
    <row r="86" spans="1:7" ht="22.5">
      <c r="A86" s="299" t="s">
        <v>166</v>
      </c>
      <c r="B86" s="299"/>
      <c r="C86" s="299"/>
      <c r="D86" s="299"/>
      <c r="E86" s="299"/>
      <c r="F86" s="299"/>
      <c r="G86" s="299"/>
    </row>
  </sheetData>
  <sheetProtection/>
  <mergeCells count="10">
    <mergeCell ref="A86:G86"/>
    <mergeCell ref="A44:D44"/>
    <mergeCell ref="F4:G4"/>
    <mergeCell ref="A85:G85"/>
    <mergeCell ref="A5:G5"/>
    <mergeCell ref="A6:G6"/>
    <mergeCell ref="A7:G7"/>
    <mergeCell ref="A9:D9"/>
    <mergeCell ref="A42:G42"/>
    <mergeCell ref="A43:G43"/>
  </mergeCells>
  <printOptions/>
  <pageMargins left="0" right="0" top="0.35" bottom="0" header="0.26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1"/>
  <sheetViews>
    <sheetView view="pageBreakPreview" zoomScaleSheetLayoutView="100" zoomScalePageLayoutView="0" workbookViewId="0" topLeftCell="A64">
      <selection activeCell="D65" sqref="D65"/>
    </sheetView>
  </sheetViews>
  <sheetFormatPr defaultColWidth="9.140625" defaultRowHeight="21.75"/>
  <cols>
    <col min="1" max="1" width="63.7109375" style="0" customWidth="1"/>
    <col min="2" max="2" width="10.28125" style="0" customWidth="1"/>
    <col min="3" max="4" width="17.28125" style="0" customWidth="1"/>
  </cols>
  <sheetData>
    <row r="1" spans="1:4" ht="19.5" customHeight="1">
      <c r="A1" s="191"/>
      <c r="B1" s="191"/>
      <c r="C1" s="191"/>
      <c r="D1" s="147" t="s">
        <v>70</v>
      </c>
    </row>
    <row r="2" spans="1:4" ht="21.75" customHeight="1">
      <c r="A2" s="302" t="s">
        <v>0</v>
      </c>
      <c r="B2" s="302"/>
      <c r="C2" s="302"/>
      <c r="D2" s="302"/>
    </row>
    <row r="3" spans="1:4" ht="21.75" customHeight="1">
      <c r="A3" s="302" t="s">
        <v>206</v>
      </c>
      <c r="B3" s="302"/>
      <c r="C3" s="302"/>
      <c r="D3" s="302"/>
    </row>
    <row r="4" spans="1:4" ht="21.75" customHeight="1">
      <c r="A4" s="301" t="s">
        <v>398</v>
      </c>
      <c r="B4" s="301"/>
      <c r="C4" s="301"/>
      <c r="D4" s="301"/>
    </row>
    <row r="5" spans="1:4" ht="22.5">
      <c r="A5" s="100" t="s">
        <v>124</v>
      </c>
      <c r="B5" s="101" t="s">
        <v>35</v>
      </c>
      <c r="C5" s="101" t="s">
        <v>94</v>
      </c>
      <c r="D5" s="108" t="s">
        <v>38</v>
      </c>
    </row>
    <row r="6" spans="1:4" ht="19.5" customHeight="1">
      <c r="A6" s="153" t="s">
        <v>40</v>
      </c>
      <c r="B6" s="104">
        <v>41000000</v>
      </c>
      <c r="C6" s="102"/>
      <c r="D6" s="109"/>
    </row>
    <row r="7" spans="1:4" ht="19.5" customHeight="1">
      <c r="A7" s="170" t="s">
        <v>39</v>
      </c>
      <c r="B7" s="104">
        <v>41100000</v>
      </c>
      <c r="C7" s="103"/>
      <c r="D7" s="110"/>
    </row>
    <row r="8" spans="1:4" ht="19.5" customHeight="1">
      <c r="A8" s="20" t="s">
        <v>83</v>
      </c>
      <c r="B8" s="104">
        <v>41100001</v>
      </c>
      <c r="C8" s="105">
        <v>810000</v>
      </c>
      <c r="D8" s="111">
        <v>192932</v>
      </c>
    </row>
    <row r="9" spans="1:4" ht="19.5" customHeight="1">
      <c r="A9" s="20" t="s">
        <v>84</v>
      </c>
      <c r="B9" s="104">
        <v>41100002</v>
      </c>
      <c r="C9" s="105">
        <v>200000</v>
      </c>
      <c r="D9" s="111">
        <v>31268.3</v>
      </c>
    </row>
    <row r="10" spans="1:4" ht="19.5" customHeight="1">
      <c r="A10" s="20" t="s">
        <v>11</v>
      </c>
      <c r="B10" s="104">
        <v>41100003</v>
      </c>
      <c r="C10" s="105">
        <v>65000</v>
      </c>
      <c r="D10" s="111">
        <v>18960</v>
      </c>
    </row>
    <row r="11" spans="1:4" ht="19.5" customHeight="1" hidden="1">
      <c r="A11" s="20" t="s">
        <v>125</v>
      </c>
      <c r="B11" s="104">
        <v>41100004</v>
      </c>
      <c r="C11" s="105">
        <v>0</v>
      </c>
      <c r="D11" s="111">
        <v>0</v>
      </c>
    </row>
    <row r="12" spans="1:4" ht="19.5" customHeight="1">
      <c r="A12" s="20" t="s">
        <v>150</v>
      </c>
      <c r="B12" s="104">
        <v>41100005</v>
      </c>
      <c r="C12" s="105">
        <v>250000</v>
      </c>
      <c r="D12" s="111">
        <v>0</v>
      </c>
    </row>
    <row r="13" spans="1:4" ht="19.5" customHeight="1">
      <c r="A13" s="21" t="s">
        <v>53</v>
      </c>
      <c r="B13" s="104"/>
      <c r="C13" s="107">
        <f>SUM(C8:C12)</f>
        <v>1325000</v>
      </c>
      <c r="D13" s="112">
        <f>SUM(D8:D12)</f>
        <v>243160.3</v>
      </c>
    </row>
    <row r="14" spans="1:4" ht="19.5" customHeight="1">
      <c r="A14" s="170" t="s">
        <v>126</v>
      </c>
      <c r="B14" s="104">
        <v>41200000</v>
      </c>
      <c r="C14" s="98"/>
      <c r="D14" s="111"/>
    </row>
    <row r="15" spans="1:4" ht="19.5" customHeight="1">
      <c r="A15" s="20" t="s">
        <v>112</v>
      </c>
      <c r="B15" s="104">
        <v>41210004</v>
      </c>
      <c r="C15" s="105">
        <v>3000</v>
      </c>
      <c r="D15" s="111">
        <v>455.9</v>
      </c>
    </row>
    <row r="16" spans="1:4" ht="19.5" customHeight="1">
      <c r="A16" s="20" t="s">
        <v>41</v>
      </c>
      <c r="B16" s="104">
        <v>41210005</v>
      </c>
      <c r="C16" s="105">
        <v>100</v>
      </c>
      <c r="D16" s="111">
        <v>0</v>
      </c>
    </row>
    <row r="17" spans="1:4" ht="19.5" customHeight="1">
      <c r="A17" s="20" t="s">
        <v>113</v>
      </c>
      <c r="B17" s="104">
        <v>41210007</v>
      </c>
      <c r="C17" s="105">
        <v>50000</v>
      </c>
      <c r="D17" s="111">
        <v>833</v>
      </c>
    </row>
    <row r="18" spans="1:4" ht="19.5" customHeight="1">
      <c r="A18" s="20" t="s">
        <v>114</v>
      </c>
      <c r="B18" s="104">
        <v>41210008</v>
      </c>
      <c r="C18" s="105">
        <v>85000</v>
      </c>
      <c r="D18" s="111">
        <v>220</v>
      </c>
    </row>
    <row r="19" spans="1:4" ht="19.5" customHeight="1">
      <c r="A19" s="182" t="s">
        <v>127</v>
      </c>
      <c r="B19" s="104">
        <v>41210010</v>
      </c>
      <c r="C19" s="105">
        <v>500</v>
      </c>
      <c r="D19" s="111">
        <v>50</v>
      </c>
    </row>
    <row r="20" spans="1:4" ht="19.5" customHeight="1">
      <c r="A20" s="20" t="s">
        <v>28</v>
      </c>
      <c r="B20" s="104">
        <v>41210012</v>
      </c>
      <c r="C20" s="105">
        <v>500</v>
      </c>
      <c r="D20" s="111">
        <v>0</v>
      </c>
    </row>
    <row r="21" spans="1:4" ht="19.5" customHeight="1">
      <c r="A21" s="20" t="s">
        <v>115</v>
      </c>
      <c r="B21" s="104">
        <v>41210029</v>
      </c>
      <c r="C21" s="105">
        <v>1500</v>
      </c>
      <c r="D21" s="111">
        <v>50</v>
      </c>
    </row>
    <row r="22" spans="1:4" ht="19.5" customHeight="1">
      <c r="A22" s="20" t="s">
        <v>153</v>
      </c>
      <c r="B22" s="104">
        <v>41210033</v>
      </c>
      <c r="C22" s="105">
        <v>0</v>
      </c>
      <c r="D22" s="111">
        <v>0</v>
      </c>
    </row>
    <row r="23" spans="1:4" ht="19.5" customHeight="1">
      <c r="A23" s="20" t="s">
        <v>197</v>
      </c>
      <c r="B23" s="104">
        <v>41219999</v>
      </c>
      <c r="C23" s="105">
        <v>1500</v>
      </c>
      <c r="D23" s="111">
        <v>0</v>
      </c>
    </row>
    <row r="24" spans="1:4" ht="19.5" customHeight="1">
      <c r="A24" s="20" t="s">
        <v>146</v>
      </c>
      <c r="B24" s="104">
        <v>41220002</v>
      </c>
      <c r="C24" s="105">
        <v>1500</v>
      </c>
      <c r="D24" s="111">
        <v>0</v>
      </c>
    </row>
    <row r="25" spans="1:4" ht="19.5" customHeight="1">
      <c r="A25" s="20" t="s">
        <v>42</v>
      </c>
      <c r="B25" s="104">
        <v>41220009</v>
      </c>
      <c r="C25" s="105">
        <v>100</v>
      </c>
      <c r="D25" s="111">
        <v>0</v>
      </c>
    </row>
    <row r="26" spans="1:4" ht="19.5" customHeight="1">
      <c r="A26" s="20" t="s">
        <v>29</v>
      </c>
      <c r="B26" s="104">
        <v>41220010</v>
      </c>
      <c r="C26" s="105">
        <v>150000</v>
      </c>
      <c r="D26" s="111">
        <v>700</v>
      </c>
    </row>
    <row r="27" spans="1:4" ht="19.5" customHeight="1" hidden="1">
      <c r="A27" s="20" t="s">
        <v>30</v>
      </c>
      <c r="B27" s="104">
        <v>41229999</v>
      </c>
      <c r="C27" s="105">
        <v>0</v>
      </c>
      <c r="D27" s="111">
        <v>0</v>
      </c>
    </row>
    <row r="28" spans="1:4" ht="19.5" customHeight="1">
      <c r="A28" s="20" t="s">
        <v>116</v>
      </c>
      <c r="B28" s="104">
        <v>41230003</v>
      </c>
      <c r="C28" s="105">
        <v>23000</v>
      </c>
      <c r="D28" s="111">
        <v>500</v>
      </c>
    </row>
    <row r="29" spans="1:4" ht="19.5" customHeight="1">
      <c r="A29" s="20" t="s">
        <v>117</v>
      </c>
      <c r="B29" s="104">
        <v>41230004</v>
      </c>
      <c r="C29" s="105">
        <v>200</v>
      </c>
      <c r="D29" s="111">
        <v>0</v>
      </c>
    </row>
    <row r="30" spans="1:4" ht="19.5" customHeight="1">
      <c r="A30" s="20" t="s">
        <v>31</v>
      </c>
      <c r="B30" s="104">
        <v>41230006</v>
      </c>
      <c r="C30" s="105">
        <v>2000</v>
      </c>
      <c r="D30" s="111">
        <v>0</v>
      </c>
    </row>
    <row r="31" spans="1:4" ht="19.5" customHeight="1">
      <c r="A31" s="20" t="s">
        <v>101</v>
      </c>
      <c r="B31" s="104">
        <v>41230007</v>
      </c>
      <c r="C31" s="105">
        <v>1500</v>
      </c>
      <c r="D31" s="111">
        <v>20</v>
      </c>
    </row>
    <row r="32" spans="1:4" ht="19.5" customHeight="1">
      <c r="A32" s="20" t="s">
        <v>10</v>
      </c>
      <c r="B32" s="104">
        <v>41230008</v>
      </c>
      <c r="C32" s="105">
        <v>700</v>
      </c>
      <c r="D32" s="111">
        <v>40</v>
      </c>
    </row>
    <row r="33" spans="1:4" ht="19.5" customHeight="1">
      <c r="A33" s="20" t="s">
        <v>50</v>
      </c>
      <c r="B33" s="104">
        <v>41239999</v>
      </c>
      <c r="C33" s="105">
        <v>200</v>
      </c>
      <c r="D33" s="111">
        <v>0</v>
      </c>
    </row>
    <row r="34" spans="1:4" ht="19.5" customHeight="1">
      <c r="A34" s="21" t="s">
        <v>53</v>
      </c>
      <c r="B34" s="104"/>
      <c r="C34" s="107">
        <f>SUM(C15:C33)</f>
        <v>321300</v>
      </c>
      <c r="D34" s="112">
        <f>SUM(D15:D33)</f>
        <v>2868.9</v>
      </c>
    </row>
    <row r="35" spans="1:4" ht="19.5" customHeight="1">
      <c r="A35" s="170" t="s">
        <v>43</v>
      </c>
      <c r="B35" s="104">
        <v>41300000</v>
      </c>
      <c r="C35" s="98"/>
      <c r="D35" s="111"/>
    </row>
    <row r="36" spans="1:4" ht="19.5" customHeight="1" hidden="1">
      <c r="A36" s="20" t="s">
        <v>2</v>
      </c>
      <c r="B36" s="104">
        <v>41300002</v>
      </c>
      <c r="C36" s="105">
        <v>0</v>
      </c>
      <c r="D36" s="111">
        <v>0</v>
      </c>
    </row>
    <row r="37" spans="1:4" ht="19.5" customHeight="1">
      <c r="A37" s="20" t="s">
        <v>32</v>
      </c>
      <c r="B37" s="104">
        <v>41300003</v>
      </c>
      <c r="C37" s="105">
        <v>700000</v>
      </c>
      <c r="D37" s="111">
        <v>0</v>
      </c>
    </row>
    <row r="38" spans="1:4" ht="19.5" customHeight="1">
      <c r="A38" s="20" t="s">
        <v>33</v>
      </c>
      <c r="B38" s="104">
        <v>41399999</v>
      </c>
      <c r="C38" s="105">
        <v>25000</v>
      </c>
      <c r="D38" s="111">
        <v>2040</v>
      </c>
    </row>
    <row r="39" spans="1:4" ht="20.25" customHeight="1">
      <c r="A39" s="171" t="s">
        <v>53</v>
      </c>
      <c r="B39" s="121"/>
      <c r="C39" s="107">
        <f>SUM(C36:C38)</f>
        <v>725000</v>
      </c>
      <c r="D39" s="112">
        <f>SUM(D36:D38)</f>
        <v>2040</v>
      </c>
    </row>
    <row r="40" spans="1:4" ht="20.25" customHeight="1">
      <c r="A40" s="21"/>
      <c r="B40" s="183"/>
      <c r="C40" s="184"/>
      <c r="D40" s="184"/>
    </row>
    <row r="41" spans="1:4" ht="20.25" customHeight="1">
      <c r="A41" s="21"/>
      <c r="B41" s="183"/>
      <c r="C41" s="184"/>
      <c r="D41" s="184"/>
    </row>
    <row r="42" spans="1:4" ht="20.25" customHeight="1">
      <c r="A42" s="21"/>
      <c r="B42" s="183"/>
      <c r="C42" s="184"/>
      <c r="D42" s="184"/>
    </row>
    <row r="43" spans="1:4" ht="20.25" customHeight="1">
      <c r="A43" s="21"/>
      <c r="B43" s="183"/>
      <c r="C43" s="184"/>
      <c r="D43" s="184"/>
    </row>
    <row r="44" spans="1:4" ht="20.25" customHeight="1">
      <c r="A44" s="21"/>
      <c r="B44" s="183"/>
      <c r="C44" s="184"/>
      <c r="D44" s="184"/>
    </row>
    <row r="45" spans="1:4" ht="20.25" customHeight="1">
      <c r="A45" s="300" t="s">
        <v>165</v>
      </c>
      <c r="B45" s="300"/>
      <c r="C45" s="300"/>
      <c r="D45" s="300"/>
    </row>
    <row r="46" spans="1:4" ht="20.25" customHeight="1">
      <c r="A46" s="299" t="s">
        <v>166</v>
      </c>
      <c r="B46" s="299"/>
      <c r="C46" s="299"/>
      <c r="D46" s="299"/>
    </row>
    <row r="47" spans="1:4" ht="20.25" customHeight="1">
      <c r="A47" s="189"/>
      <c r="B47" s="183"/>
      <c r="C47" s="184"/>
      <c r="D47" s="184"/>
    </row>
    <row r="48" spans="1:4" ht="20.25" customHeight="1">
      <c r="A48" s="189"/>
      <c r="B48" s="183"/>
      <c r="C48" s="184"/>
      <c r="D48" s="184"/>
    </row>
    <row r="49" spans="1:4" ht="20.25" customHeight="1">
      <c r="A49" s="100" t="s">
        <v>124</v>
      </c>
      <c r="B49" s="101" t="s">
        <v>35</v>
      </c>
      <c r="C49" s="101" t="s">
        <v>94</v>
      </c>
      <c r="D49" s="108" t="s">
        <v>38</v>
      </c>
    </row>
    <row r="50" spans="1:4" ht="20.25" customHeight="1">
      <c r="A50" s="170" t="s">
        <v>44</v>
      </c>
      <c r="B50" s="104">
        <v>41400000</v>
      </c>
      <c r="C50" s="98"/>
      <c r="D50" s="111"/>
    </row>
    <row r="51" spans="1:4" ht="20.25" customHeight="1">
      <c r="A51" s="20" t="s">
        <v>134</v>
      </c>
      <c r="B51" s="104">
        <v>41400006</v>
      </c>
      <c r="C51" s="105">
        <v>300000</v>
      </c>
      <c r="D51" s="111">
        <v>33658</v>
      </c>
    </row>
    <row r="52" spans="1:4" ht="20.25" customHeight="1">
      <c r="A52" s="21" t="s">
        <v>53</v>
      </c>
      <c r="B52" s="104"/>
      <c r="C52" s="107">
        <f>SUM(C51)</f>
        <v>300000</v>
      </c>
      <c r="D52" s="112">
        <f>SUM(D51)</f>
        <v>33658</v>
      </c>
    </row>
    <row r="53" spans="1:4" ht="20.25" customHeight="1">
      <c r="A53" s="170" t="s">
        <v>45</v>
      </c>
      <c r="B53" s="104">
        <v>41500000</v>
      </c>
      <c r="C53" s="98"/>
      <c r="D53" s="111"/>
    </row>
    <row r="54" spans="1:4" ht="20.25" customHeight="1">
      <c r="A54" s="278" t="s">
        <v>384</v>
      </c>
      <c r="B54" s="104">
        <v>41500003</v>
      </c>
      <c r="C54" s="279">
        <v>0</v>
      </c>
      <c r="D54" s="111">
        <v>20000</v>
      </c>
    </row>
    <row r="55" spans="1:4" ht="20.25" customHeight="1">
      <c r="A55" s="20" t="s">
        <v>147</v>
      </c>
      <c r="B55" s="104">
        <v>41500004</v>
      </c>
      <c r="C55" s="105">
        <v>140000</v>
      </c>
      <c r="D55" s="111">
        <v>1500</v>
      </c>
    </row>
    <row r="56" spans="1:4" ht="20.25" customHeight="1">
      <c r="A56" s="20" t="s">
        <v>108</v>
      </c>
      <c r="B56" s="104">
        <v>41500007</v>
      </c>
      <c r="C56" s="105">
        <v>200</v>
      </c>
      <c r="D56" s="111">
        <v>0</v>
      </c>
    </row>
    <row r="57" spans="1:4" ht="20.25" customHeight="1">
      <c r="A57" s="20" t="s">
        <v>81</v>
      </c>
      <c r="B57" s="104">
        <v>41599999</v>
      </c>
      <c r="C57" s="105">
        <v>55000</v>
      </c>
      <c r="D57" s="111">
        <v>3450</v>
      </c>
    </row>
    <row r="58" spans="1:4" ht="20.25" customHeight="1">
      <c r="A58" s="185" t="s">
        <v>53</v>
      </c>
      <c r="B58" s="104"/>
      <c r="C58" s="107">
        <f>SUM(C54:C57)</f>
        <v>195200</v>
      </c>
      <c r="D58" s="112">
        <f>SUM(D54:D57)</f>
        <v>24950</v>
      </c>
    </row>
    <row r="59" spans="1:4" ht="20.25" customHeight="1">
      <c r="A59" s="120" t="s">
        <v>46</v>
      </c>
      <c r="B59" s="104">
        <v>42000000</v>
      </c>
      <c r="C59" s="98"/>
      <c r="D59" s="111"/>
    </row>
    <row r="60" spans="1:4" ht="20.25" customHeight="1">
      <c r="A60" s="99" t="s">
        <v>47</v>
      </c>
      <c r="B60" s="104">
        <v>42100000</v>
      </c>
      <c r="C60" s="98"/>
      <c r="D60" s="111"/>
    </row>
    <row r="61" spans="1:4" ht="20.25" customHeight="1">
      <c r="A61" s="20" t="s">
        <v>135</v>
      </c>
      <c r="B61" s="104">
        <v>42100001</v>
      </c>
      <c r="C61" s="105">
        <v>800000</v>
      </c>
      <c r="D61" s="111">
        <v>62839.94</v>
      </c>
    </row>
    <row r="62" spans="1:4" ht="20.25" customHeight="1">
      <c r="A62" s="20" t="s">
        <v>136</v>
      </c>
      <c r="B62" s="104">
        <v>42100002</v>
      </c>
      <c r="C62" s="105">
        <v>9400000</v>
      </c>
      <c r="D62" s="111">
        <v>948809.63</v>
      </c>
    </row>
    <row r="63" spans="1:4" ht="20.25" customHeight="1">
      <c r="A63" s="20" t="s">
        <v>137</v>
      </c>
      <c r="B63" s="104">
        <v>42100004</v>
      </c>
      <c r="C63" s="105">
        <v>5060000</v>
      </c>
      <c r="D63" s="111">
        <v>489609.79</v>
      </c>
    </row>
    <row r="64" spans="1:4" ht="20.25" customHeight="1">
      <c r="A64" s="20" t="s">
        <v>34</v>
      </c>
      <c r="B64" s="104">
        <v>42100005</v>
      </c>
      <c r="C64" s="105">
        <v>200000</v>
      </c>
      <c r="D64" s="111">
        <v>15804.64</v>
      </c>
    </row>
    <row r="65" spans="1:4" ht="20.25" customHeight="1">
      <c r="A65" s="20" t="s">
        <v>148</v>
      </c>
      <c r="B65" s="104">
        <v>42100007</v>
      </c>
      <c r="C65" s="105">
        <v>8500000</v>
      </c>
      <c r="D65" s="111">
        <v>891942.41</v>
      </c>
    </row>
    <row r="66" spans="1:4" ht="20.25" customHeight="1">
      <c r="A66" s="20" t="s">
        <v>109</v>
      </c>
      <c r="B66" s="104">
        <v>42100012</v>
      </c>
      <c r="C66" s="105">
        <v>100000</v>
      </c>
      <c r="D66" s="111">
        <v>0</v>
      </c>
    </row>
    <row r="67" spans="1:4" ht="20.25" customHeight="1">
      <c r="A67" s="20" t="s">
        <v>149</v>
      </c>
      <c r="B67" s="104">
        <v>42100013</v>
      </c>
      <c r="C67" s="105">
        <v>100000</v>
      </c>
      <c r="D67" s="111">
        <v>0</v>
      </c>
    </row>
    <row r="68" spans="1:4" ht="20.25" customHeight="1">
      <c r="A68" s="20" t="s">
        <v>138</v>
      </c>
      <c r="B68" s="104">
        <v>42100015</v>
      </c>
      <c r="C68" s="105">
        <v>1973500</v>
      </c>
      <c r="D68" s="111">
        <v>52839</v>
      </c>
    </row>
    <row r="69" spans="1:4" ht="20.25" customHeight="1">
      <c r="A69" s="115" t="s">
        <v>53</v>
      </c>
      <c r="B69" s="104"/>
      <c r="C69" s="107">
        <f>SUM(C61:C68)</f>
        <v>26133500</v>
      </c>
      <c r="D69" s="112">
        <f>SUM(D61:D68)</f>
        <v>2461845.41</v>
      </c>
    </row>
    <row r="70" spans="1:4" ht="20.25" customHeight="1">
      <c r="A70" s="153" t="s">
        <v>48</v>
      </c>
      <c r="B70" s="104">
        <v>43000000</v>
      </c>
      <c r="C70" s="98"/>
      <c r="D70" s="111"/>
    </row>
    <row r="71" spans="1:4" ht="20.25" customHeight="1">
      <c r="A71" s="170" t="s">
        <v>96</v>
      </c>
      <c r="B71" s="104">
        <v>43100000</v>
      </c>
      <c r="C71" s="98"/>
      <c r="D71" s="111"/>
    </row>
    <row r="72" spans="1:4" ht="20.25" customHeight="1">
      <c r="A72" s="97" t="s">
        <v>9</v>
      </c>
      <c r="B72" s="104">
        <v>43100002</v>
      </c>
      <c r="C72" s="105">
        <v>32000000</v>
      </c>
      <c r="D72" s="111">
        <v>5436580</v>
      </c>
    </row>
    <row r="73" spans="1:4" ht="20.25" customHeight="1">
      <c r="A73" s="115" t="s">
        <v>53</v>
      </c>
      <c r="B73" s="104"/>
      <c r="C73" s="107">
        <f>SUM(C70:C72)</f>
        <v>32000000</v>
      </c>
      <c r="D73" s="112">
        <f>SUM(D70:D72)</f>
        <v>5436580</v>
      </c>
    </row>
    <row r="74" spans="1:4" ht="20.25" customHeight="1">
      <c r="A74" s="153" t="s">
        <v>209</v>
      </c>
      <c r="B74" s="104">
        <v>44000000</v>
      </c>
      <c r="C74" s="105"/>
      <c r="D74" s="113"/>
    </row>
    <row r="75" spans="1:4" ht="20.25" customHeight="1" hidden="1">
      <c r="A75" s="170" t="s">
        <v>196</v>
      </c>
      <c r="B75" s="104">
        <v>44100000</v>
      </c>
      <c r="C75" s="105"/>
      <c r="D75" s="113"/>
    </row>
    <row r="76" spans="1:4" ht="20.25" customHeight="1" hidden="1">
      <c r="A76" s="97" t="s">
        <v>151</v>
      </c>
      <c r="B76" s="104">
        <v>44100001</v>
      </c>
      <c r="C76" s="105"/>
      <c r="D76" s="113"/>
    </row>
    <row r="77" spans="1:4" ht="20.25" customHeight="1">
      <c r="A77" s="198" t="s">
        <v>161</v>
      </c>
      <c r="B77" s="104">
        <v>44100001</v>
      </c>
      <c r="C77" s="105"/>
      <c r="D77" s="113"/>
    </row>
    <row r="78" spans="1:4" ht="20.25" customHeight="1">
      <c r="A78" s="198" t="s">
        <v>162</v>
      </c>
      <c r="B78" s="104">
        <v>44100001</v>
      </c>
      <c r="C78" s="105"/>
      <c r="D78" s="113"/>
    </row>
    <row r="79" spans="1:4" ht="20.25" customHeight="1" hidden="1">
      <c r="A79" s="198" t="s">
        <v>379</v>
      </c>
      <c r="B79" s="104">
        <v>44100001</v>
      </c>
      <c r="C79" s="105">
        <v>0</v>
      </c>
      <c r="D79" s="113">
        <v>0</v>
      </c>
    </row>
    <row r="80" spans="1:4" ht="20.25" customHeight="1" hidden="1">
      <c r="A80" s="125" t="s">
        <v>53</v>
      </c>
      <c r="B80" s="121"/>
      <c r="C80" s="107">
        <f>SUM(C75:C78)</f>
        <v>0</v>
      </c>
      <c r="D80" s="114">
        <f>SUM(D74:D79)</f>
        <v>0</v>
      </c>
    </row>
    <row r="81" spans="1:4" ht="20.25" customHeight="1" hidden="1">
      <c r="A81" s="120" t="s">
        <v>209</v>
      </c>
      <c r="B81" s="104">
        <v>440000</v>
      </c>
      <c r="C81" s="106"/>
      <c r="D81" s="113"/>
    </row>
    <row r="82" spans="1:4" ht="20.25" customHeight="1" hidden="1">
      <c r="A82" s="99" t="s">
        <v>5</v>
      </c>
      <c r="B82" s="104">
        <v>441000</v>
      </c>
      <c r="C82" s="106"/>
      <c r="D82" s="113"/>
    </row>
    <row r="83" spans="1:4" ht="20.25" customHeight="1" hidden="1">
      <c r="A83" s="7" t="s">
        <v>6</v>
      </c>
      <c r="B83" s="104">
        <v>441001</v>
      </c>
      <c r="C83" s="105"/>
      <c r="D83" s="113"/>
    </row>
    <row r="84" spans="1:4" ht="20.25" customHeight="1" hidden="1">
      <c r="A84" s="7" t="s">
        <v>224</v>
      </c>
      <c r="B84" s="104">
        <v>441001</v>
      </c>
      <c r="C84" s="105"/>
      <c r="D84" s="113"/>
    </row>
    <row r="85" spans="1:4" ht="20.25" customHeight="1" hidden="1">
      <c r="A85" s="7" t="s">
        <v>229</v>
      </c>
      <c r="B85" s="104">
        <v>441001</v>
      </c>
      <c r="C85" s="105"/>
      <c r="D85" s="113"/>
    </row>
    <row r="86" spans="1:4" ht="20.25" customHeight="1" hidden="1">
      <c r="A86" s="7" t="s">
        <v>230</v>
      </c>
      <c r="B86" s="104">
        <v>441001</v>
      </c>
      <c r="C86" s="105"/>
      <c r="D86" s="113"/>
    </row>
    <row r="87" spans="1:4" ht="20.25" customHeight="1" hidden="1">
      <c r="A87" s="7" t="s">
        <v>231</v>
      </c>
      <c r="B87" s="104">
        <v>441001</v>
      </c>
      <c r="C87" s="105"/>
      <c r="D87" s="113"/>
    </row>
    <row r="88" spans="1:4" ht="20.25" customHeight="1" hidden="1">
      <c r="A88" s="7" t="s">
        <v>232</v>
      </c>
      <c r="B88" s="104">
        <v>441001</v>
      </c>
      <c r="C88" s="105"/>
      <c r="D88" s="113"/>
    </row>
    <row r="89" spans="1:4" ht="20.25" customHeight="1" hidden="1">
      <c r="A89" s="7" t="s">
        <v>233</v>
      </c>
      <c r="B89" s="104">
        <v>441001</v>
      </c>
      <c r="C89" s="105"/>
      <c r="D89" s="113"/>
    </row>
    <row r="90" spans="1:4" ht="20.25" customHeight="1" hidden="1">
      <c r="A90" s="7" t="s">
        <v>234</v>
      </c>
      <c r="B90" s="104">
        <v>441001</v>
      </c>
      <c r="C90" s="105"/>
      <c r="D90" s="113"/>
    </row>
    <row r="91" spans="1:4" ht="20.25" customHeight="1" hidden="1">
      <c r="A91" s="7" t="s">
        <v>235</v>
      </c>
      <c r="B91" s="104">
        <v>441001</v>
      </c>
      <c r="C91" s="105"/>
      <c r="D91" s="113"/>
    </row>
    <row r="92" spans="1:4" ht="20.25" customHeight="1" hidden="1">
      <c r="A92" s="7" t="s">
        <v>14</v>
      </c>
      <c r="B92" s="104">
        <v>441001</v>
      </c>
      <c r="C92" s="106"/>
      <c r="D92" s="113"/>
    </row>
    <row r="93" spans="1:4" ht="20.25" customHeight="1" hidden="1">
      <c r="A93" s="7" t="s">
        <v>15</v>
      </c>
      <c r="B93" s="104">
        <v>441001</v>
      </c>
      <c r="C93" s="106"/>
      <c r="D93" s="113"/>
    </row>
    <row r="94" spans="1:4" ht="22.5" customHeight="1" hidden="1" thickBot="1">
      <c r="A94" s="7" t="s">
        <v>16</v>
      </c>
      <c r="B94" s="104">
        <v>441001</v>
      </c>
      <c r="C94" s="106"/>
      <c r="D94" s="113"/>
    </row>
    <row r="95" spans="1:4" ht="20.25" customHeight="1">
      <c r="A95" s="7"/>
      <c r="B95" s="104"/>
      <c r="C95" s="106"/>
      <c r="D95" s="113"/>
    </row>
    <row r="96" spans="1:4" ht="20.25" customHeight="1" thickBot="1">
      <c r="A96" s="115" t="s">
        <v>53</v>
      </c>
      <c r="B96" s="104"/>
      <c r="C96" s="116">
        <f>SUM(C82:C94)</f>
        <v>0</v>
      </c>
      <c r="D96" s="117">
        <f>SUM(D83:D95)</f>
        <v>0</v>
      </c>
    </row>
    <row r="97" spans="1:4" ht="20.25" customHeight="1" thickBot="1" thickTop="1">
      <c r="A97" s="118" t="s">
        <v>133</v>
      </c>
      <c r="B97" s="119"/>
      <c r="C97" s="187">
        <f>C13+C34+C39+C52+C58+C69+C73+C80</f>
        <v>61000000</v>
      </c>
      <c r="D97" s="188">
        <f>D13+D34+D39+D52+D58+D69+D73+D80</f>
        <v>8205102.61</v>
      </c>
    </row>
    <row r="98" spans="1:4" ht="20.25" customHeight="1" thickTop="1">
      <c r="A98" s="95"/>
      <c r="B98" s="95"/>
      <c r="C98" s="95"/>
      <c r="D98" s="96"/>
    </row>
    <row r="99" spans="1:4" ht="20.25" customHeight="1">
      <c r="A99" s="95"/>
      <c r="B99" s="95"/>
      <c r="C99" s="95"/>
      <c r="D99" s="96"/>
    </row>
    <row r="100" spans="1:4" ht="20.25" customHeight="1">
      <c r="A100" s="95"/>
      <c r="B100" s="95"/>
      <c r="C100" s="95"/>
      <c r="D100" s="96"/>
    </row>
    <row r="101" spans="1:4" ht="20.25" customHeight="1">
      <c r="A101" s="95"/>
      <c r="B101" s="95"/>
      <c r="C101" s="95"/>
      <c r="D101" s="96"/>
    </row>
    <row r="102" spans="1:4" ht="21.75">
      <c r="A102" s="95"/>
      <c r="B102" s="95"/>
      <c r="C102" s="95"/>
      <c r="D102" s="96"/>
    </row>
    <row r="103" spans="1:4" ht="21.75">
      <c r="A103" s="95"/>
      <c r="B103" s="95"/>
      <c r="C103" s="95"/>
      <c r="D103" s="96"/>
    </row>
    <row r="104" spans="1:4" ht="21.75">
      <c r="A104" s="95"/>
      <c r="B104" s="95"/>
      <c r="C104" s="95"/>
      <c r="D104" s="96"/>
    </row>
    <row r="105" spans="1:4" ht="22.5">
      <c r="A105" s="300" t="s">
        <v>165</v>
      </c>
      <c r="B105" s="300"/>
      <c r="C105" s="300"/>
      <c r="D105" s="300"/>
    </row>
    <row r="106" spans="1:4" ht="22.5">
      <c r="A106" s="299" t="s">
        <v>166</v>
      </c>
      <c r="B106" s="299"/>
      <c r="C106" s="299"/>
      <c r="D106" s="299"/>
    </row>
    <row r="107" spans="1:4" ht="21.75">
      <c r="A107" s="191"/>
      <c r="B107" s="191"/>
      <c r="C107" s="191"/>
      <c r="D107" s="191"/>
    </row>
    <row r="108" spans="1:4" ht="21.75">
      <c r="A108" s="191"/>
      <c r="B108" s="191"/>
      <c r="C108" s="191"/>
      <c r="D108" s="191"/>
    </row>
    <row r="109" spans="1:4" ht="21.75">
      <c r="A109" s="191"/>
      <c r="B109" s="191"/>
      <c r="C109" s="191"/>
      <c r="D109" s="191"/>
    </row>
    <row r="110" spans="1:4" ht="21.75">
      <c r="A110" s="191"/>
      <c r="B110" s="191"/>
      <c r="C110" s="191"/>
      <c r="D110" s="191"/>
    </row>
    <row r="111" spans="1:4" ht="21.75">
      <c r="A111" s="191"/>
      <c r="B111" s="191"/>
      <c r="C111" s="191"/>
      <c r="D111" s="191"/>
    </row>
    <row r="112" spans="1:4" ht="21.75">
      <c r="A112" s="191"/>
      <c r="B112" s="191"/>
      <c r="C112" s="191"/>
      <c r="D112" s="191"/>
    </row>
    <row r="113" spans="1:4" ht="21.75">
      <c r="A113" s="191"/>
      <c r="B113" s="191"/>
      <c r="C113" s="191"/>
      <c r="D113" s="191"/>
    </row>
    <row r="114" spans="1:4" ht="21.75">
      <c r="A114" s="191"/>
      <c r="B114" s="191"/>
      <c r="C114" s="191"/>
      <c r="D114" s="191"/>
    </row>
    <row r="115" spans="1:4" ht="21.75">
      <c r="A115" s="191"/>
      <c r="B115" s="191"/>
      <c r="C115" s="191"/>
      <c r="D115" s="191"/>
    </row>
    <row r="116" spans="1:4" ht="21.75">
      <c r="A116" s="191"/>
      <c r="B116" s="191"/>
      <c r="C116" s="191"/>
      <c r="D116" s="191"/>
    </row>
    <row r="117" spans="1:4" ht="21.75">
      <c r="A117" s="191"/>
      <c r="B117" s="191"/>
      <c r="C117" s="191"/>
      <c r="D117" s="191"/>
    </row>
    <row r="118" spans="1:4" ht="21.75">
      <c r="A118" s="191"/>
      <c r="B118" s="191"/>
      <c r="C118" s="191"/>
      <c r="D118" s="191"/>
    </row>
    <row r="119" spans="1:4" ht="21.75">
      <c r="A119" s="191"/>
      <c r="B119" s="191"/>
      <c r="C119" s="191"/>
      <c r="D119" s="191"/>
    </row>
    <row r="120" spans="1:4" ht="21.75">
      <c r="A120" s="191"/>
      <c r="B120" s="191"/>
      <c r="C120" s="191"/>
      <c r="D120" s="191"/>
    </row>
    <row r="121" spans="1:4" ht="21.75">
      <c r="A121" s="191"/>
      <c r="B121" s="191"/>
      <c r="C121" s="191"/>
      <c r="D121" s="191"/>
    </row>
  </sheetData>
  <sheetProtection/>
  <mergeCells count="7">
    <mergeCell ref="A106:D106"/>
    <mergeCell ref="A105:D105"/>
    <mergeCell ref="A2:D2"/>
    <mergeCell ref="A3:D3"/>
    <mergeCell ref="A4:D4"/>
    <mergeCell ref="A45:D45"/>
    <mergeCell ref="A46:D46"/>
  </mergeCells>
  <printOptions/>
  <pageMargins left="0.32" right="0" top="0" bottom="0" header="0.3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07"/>
  <sheetViews>
    <sheetView view="pageBreakPreview" zoomScaleSheetLayoutView="100" zoomScalePageLayoutView="0" workbookViewId="0" topLeftCell="A3">
      <selection activeCell="A50" sqref="A50:IV50"/>
    </sheetView>
  </sheetViews>
  <sheetFormatPr defaultColWidth="9.140625" defaultRowHeight="21.75"/>
  <cols>
    <col min="1" max="1" width="9.57421875" style="1" customWidth="1"/>
    <col min="2" max="2" width="51.00390625" style="1" customWidth="1"/>
    <col min="3" max="3" width="22.28125" style="1" customWidth="1"/>
    <col min="4" max="4" width="18.28125" style="2" customWidth="1"/>
    <col min="5" max="5" width="5.140625" style="1" hidden="1" customWidth="1"/>
    <col min="6" max="16384" width="9.140625" style="1" customWidth="1"/>
  </cols>
  <sheetData>
    <row r="1" ht="20.25" customHeight="1"/>
    <row r="2" spans="1:5" ht="24.75" customHeight="1">
      <c r="A2" s="295" t="s">
        <v>0</v>
      </c>
      <c r="B2" s="295"/>
      <c r="C2" s="295"/>
      <c r="D2" s="295"/>
      <c r="E2" s="295"/>
    </row>
    <row r="3" spans="1:5" ht="24.75" customHeight="1">
      <c r="A3" s="301" t="s">
        <v>205</v>
      </c>
      <c r="B3" s="301"/>
      <c r="C3" s="301"/>
      <c r="D3" s="301"/>
      <c r="E3" s="301"/>
    </row>
    <row r="4" spans="1:5" ht="24.75" customHeight="1">
      <c r="A4" s="301" t="s">
        <v>398</v>
      </c>
      <c r="B4" s="301"/>
      <c r="C4" s="301"/>
      <c r="D4" s="301"/>
      <c r="E4" s="301"/>
    </row>
    <row r="5" spans="1:5" ht="21" customHeight="1">
      <c r="A5" s="21"/>
      <c r="B5" s="21"/>
      <c r="C5" s="21"/>
      <c r="D5" s="21"/>
      <c r="E5" s="21"/>
    </row>
    <row r="6" spans="1:5" ht="21" customHeight="1">
      <c r="A6" s="162" t="s">
        <v>237</v>
      </c>
      <c r="B6" s="20"/>
      <c r="C6" s="21"/>
      <c r="D6" s="85"/>
      <c r="E6" s="21"/>
    </row>
    <row r="7" spans="1:5" ht="0.75" customHeight="1">
      <c r="A7" s="163"/>
      <c r="B7" s="20"/>
      <c r="C7" s="21"/>
      <c r="D7" s="164" t="s">
        <v>171</v>
      </c>
      <c r="E7" s="21"/>
    </row>
    <row r="8" spans="1:5" ht="21" customHeight="1">
      <c r="A8" s="163"/>
      <c r="B8" s="20"/>
      <c r="C8" s="21"/>
      <c r="D8" s="164"/>
      <c r="E8" s="21"/>
    </row>
    <row r="9" spans="1:5" ht="21" customHeight="1">
      <c r="A9" s="6"/>
      <c r="B9" s="20" t="s">
        <v>8</v>
      </c>
      <c r="C9" s="21"/>
      <c r="D9" s="90">
        <v>9353.5</v>
      </c>
      <c r="E9" s="21"/>
    </row>
    <row r="10" spans="1:5" ht="21" customHeight="1">
      <c r="A10" s="6"/>
      <c r="B10" s="20" t="s">
        <v>52</v>
      </c>
      <c r="C10" s="21"/>
      <c r="D10" s="90">
        <v>1780.85</v>
      </c>
      <c r="E10" s="21"/>
    </row>
    <row r="11" spans="1:5" ht="21" customHeight="1" hidden="1">
      <c r="A11" s="6"/>
      <c r="B11" s="20" t="s">
        <v>140</v>
      </c>
      <c r="C11" s="21"/>
      <c r="D11" s="90">
        <v>0</v>
      </c>
      <c r="E11" s="21"/>
    </row>
    <row r="12" spans="1:5" ht="21" customHeight="1">
      <c r="A12" s="6"/>
      <c r="B12" s="20" t="s">
        <v>59</v>
      </c>
      <c r="C12" s="21"/>
      <c r="D12" s="90">
        <v>16552</v>
      </c>
      <c r="E12" s="21"/>
    </row>
    <row r="13" spans="1:5" ht="21" customHeight="1" hidden="1">
      <c r="A13" s="6"/>
      <c r="B13" s="20" t="s">
        <v>71</v>
      </c>
      <c r="C13" s="21"/>
      <c r="D13" s="90"/>
      <c r="E13" s="21"/>
    </row>
    <row r="14" spans="1:5" ht="21" customHeight="1" hidden="1">
      <c r="A14" s="6"/>
      <c r="B14" s="20" t="s">
        <v>224</v>
      </c>
      <c r="C14" s="21"/>
      <c r="D14" s="90"/>
      <c r="E14" s="21"/>
    </row>
    <row r="15" spans="1:5" ht="21" customHeight="1" hidden="1">
      <c r="A15" s="6"/>
      <c r="B15" s="20" t="s">
        <v>186</v>
      </c>
      <c r="C15" s="21"/>
      <c r="D15" s="90"/>
      <c r="E15" s="21"/>
    </row>
    <row r="16" spans="1:5" ht="21" customHeight="1" hidden="1">
      <c r="A16" s="6"/>
      <c r="B16" s="20" t="s">
        <v>90</v>
      </c>
      <c r="C16" s="21"/>
      <c r="D16" s="90"/>
      <c r="E16" s="21"/>
    </row>
    <row r="17" spans="1:5" ht="21" customHeight="1" hidden="1">
      <c r="A17" s="6"/>
      <c r="B17" s="20" t="s">
        <v>227</v>
      </c>
      <c r="C17" s="21"/>
      <c r="D17" s="90"/>
      <c r="E17" s="21"/>
    </row>
    <row r="18" spans="1:5" ht="21" customHeight="1" hidden="1">
      <c r="A18" s="6"/>
      <c r="B18" s="20" t="s">
        <v>226</v>
      </c>
      <c r="C18" s="21"/>
      <c r="D18" s="90"/>
      <c r="E18" s="21"/>
    </row>
    <row r="19" spans="1:5" ht="21" customHeight="1" hidden="1">
      <c r="A19" s="6"/>
      <c r="B19" s="20" t="s">
        <v>221</v>
      </c>
      <c r="C19" s="21"/>
      <c r="D19" s="90"/>
      <c r="E19" s="21"/>
    </row>
    <row r="20" spans="1:5" ht="21" customHeight="1">
      <c r="A20" s="6"/>
      <c r="B20" s="20" t="s">
        <v>121</v>
      </c>
      <c r="C20" s="21"/>
      <c r="D20" s="90">
        <v>191.63</v>
      </c>
      <c r="E20" s="21"/>
    </row>
    <row r="21" spans="1:5" ht="21" customHeight="1" hidden="1">
      <c r="A21" s="6"/>
      <c r="B21" s="20" t="s">
        <v>75</v>
      </c>
      <c r="C21" s="21"/>
      <c r="D21" s="90"/>
      <c r="E21" s="21"/>
    </row>
    <row r="22" spans="1:5" ht="21" customHeight="1">
      <c r="A22" s="6"/>
      <c r="B22" s="20" t="s">
        <v>76</v>
      </c>
      <c r="C22" s="21"/>
      <c r="D22" s="90">
        <v>20300</v>
      </c>
      <c r="E22" s="21"/>
    </row>
    <row r="23" spans="1:5" ht="21" customHeight="1">
      <c r="A23" s="6"/>
      <c r="B23" s="20" t="s">
        <v>88</v>
      </c>
      <c r="C23" s="21"/>
      <c r="D23" s="90">
        <v>5869.25</v>
      </c>
      <c r="E23" s="21"/>
    </row>
    <row r="24" spans="1:5" ht="21" customHeight="1">
      <c r="A24" s="6"/>
      <c r="B24" s="20" t="s">
        <v>91</v>
      </c>
      <c r="C24" s="21"/>
      <c r="D24" s="90">
        <v>30903.88</v>
      </c>
      <c r="E24" s="21"/>
    </row>
    <row r="25" spans="1:5" ht="21" customHeight="1">
      <c r="A25" s="6"/>
      <c r="B25" s="20" t="s">
        <v>386</v>
      </c>
      <c r="C25" s="21"/>
      <c r="D25" s="90">
        <v>3200</v>
      </c>
      <c r="E25" s="21"/>
    </row>
    <row r="26" spans="1:5" ht="15.75" customHeight="1">
      <c r="A26" s="6"/>
      <c r="B26" s="20" t="s">
        <v>152</v>
      </c>
      <c r="C26" s="21"/>
      <c r="D26" s="90"/>
      <c r="E26" s="21"/>
    </row>
    <row r="27" spans="1:5" ht="21" customHeight="1" thickBot="1">
      <c r="A27" s="6"/>
      <c r="B27" s="20"/>
      <c r="C27" s="6" t="s">
        <v>53</v>
      </c>
      <c r="D27" s="146">
        <f>SUM(D9:D26)</f>
        <v>88151.11</v>
      </c>
      <c r="E27" s="21"/>
    </row>
    <row r="28" spans="1:5" ht="21" customHeight="1" thickTop="1">
      <c r="A28" s="6"/>
      <c r="B28" s="20"/>
      <c r="C28" s="6"/>
      <c r="D28" s="156"/>
      <c r="E28" s="21"/>
    </row>
    <row r="29" spans="1:5" ht="15.75" customHeight="1">
      <c r="A29" s="6"/>
      <c r="B29" s="20"/>
      <c r="C29" s="6"/>
      <c r="D29" s="156"/>
      <c r="E29" s="21"/>
    </row>
    <row r="30" spans="1:5" ht="21" customHeight="1">
      <c r="A30" s="162" t="s">
        <v>155</v>
      </c>
      <c r="B30" s="20"/>
      <c r="C30" s="21"/>
      <c r="D30" s="85"/>
      <c r="E30" s="21"/>
    </row>
    <row r="31" spans="1:5" ht="21" customHeight="1">
      <c r="A31" s="163"/>
      <c r="B31" s="20"/>
      <c r="C31" s="21"/>
      <c r="D31" s="164" t="s">
        <v>171</v>
      </c>
      <c r="E31" s="21"/>
    </row>
    <row r="32" spans="1:5" ht="19.5" customHeight="1">
      <c r="A32" s="163"/>
      <c r="B32" s="20"/>
      <c r="C32" s="21"/>
      <c r="D32" s="164"/>
      <c r="E32" s="21"/>
    </row>
    <row r="33" spans="1:5" ht="19.5" customHeight="1">
      <c r="A33" s="6"/>
      <c r="B33" s="20" t="s">
        <v>8</v>
      </c>
      <c r="C33" s="21"/>
      <c r="D33" s="90">
        <v>26382.4</v>
      </c>
      <c r="E33" s="21"/>
    </row>
    <row r="34" spans="1:5" ht="19.5" customHeight="1" hidden="1">
      <c r="A34" s="6"/>
      <c r="B34" s="20" t="s">
        <v>52</v>
      </c>
      <c r="C34" s="21"/>
      <c r="D34" s="90"/>
      <c r="E34" s="21"/>
    </row>
    <row r="35" spans="1:5" ht="19.5" customHeight="1" hidden="1">
      <c r="A35" s="6"/>
      <c r="B35" s="20" t="s">
        <v>58</v>
      </c>
      <c r="C35" s="21"/>
      <c r="D35" s="90"/>
      <c r="E35" s="21"/>
    </row>
    <row r="36" spans="1:5" ht="19.5" customHeight="1">
      <c r="A36" s="6"/>
      <c r="B36" s="20" t="s">
        <v>59</v>
      </c>
      <c r="C36" s="21"/>
      <c r="D36" s="90">
        <v>16552</v>
      </c>
      <c r="E36" s="21"/>
    </row>
    <row r="37" spans="1:5" ht="19.5" customHeight="1" hidden="1">
      <c r="A37" s="6"/>
      <c r="B37" s="20" t="s">
        <v>71</v>
      </c>
      <c r="C37" s="21"/>
      <c r="D37" s="90"/>
      <c r="E37" s="21"/>
    </row>
    <row r="38" spans="1:5" ht="19.5" customHeight="1" hidden="1">
      <c r="A38" s="6"/>
      <c r="B38" s="20" t="s">
        <v>224</v>
      </c>
      <c r="C38" s="21"/>
      <c r="D38" s="90"/>
      <c r="E38" s="21"/>
    </row>
    <row r="39" spans="1:5" ht="19.5" customHeight="1" hidden="1">
      <c r="A39" s="6"/>
      <c r="B39" s="20" t="s">
        <v>186</v>
      </c>
      <c r="C39" s="21"/>
      <c r="D39" s="90"/>
      <c r="E39" s="21"/>
    </row>
    <row r="40" spans="1:5" ht="19.5" customHeight="1" hidden="1">
      <c r="A40" s="6"/>
      <c r="B40" s="20" t="s">
        <v>90</v>
      </c>
      <c r="C40" s="21"/>
      <c r="D40" s="90"/>
      <c r="E40" s="21"/>
    </row>
    <row r="41" spans="1:5" ht="19.5" customHeight="1" hidden="1">
      <c r="A41" s="6"/>
      <c r="B41" s="20" t="s">
        <v>227</v>
      </c>
      <c r="C41" s="21"/>
      <c r="D41" s="90"/>
      <c r="E41" s="21"/>
    </row>
    <row r="42" spans="1:5" ht="19.5" customHeight="1" hidden="1">
      <c r="A42" s="6"/>
      <c r="B42" s="20" t="s">
        <v>226</v>
      </c>
      <c r="C42" s="21"/>
      <c r="D42" s="90"/>
      <c r="E42" s="21"/>
    </row>
    <row r="43" spans="1:5" ht="19.5" customHeight="1" hidden="1">
      <c r="A43" s="6"/>
      <c r="B43" s="20" t="s">
        <v>221</v>
      </c>
      <c r="C43" s="21"/>
      <c r="D43" s="90"/>
      <c r="E43" s="21"/>
    </row>
    <row r="44" spans="1:5" ht="19.5" customHeight="1" hidden="1">
      <c r="A44" s="6"/>
      <c r="B44" s="20" t="s">
        <v>121</v>
      </c>
      <c r="C44" s="21"/>
      <c r="D44" s="90"/>
      <c r="E44" s="21"/>
    </row>
    <row r="45" spans="1:5" ht="19.5" customHeight="1">
      <c r="A45" s="6"/>
      <c r="B45" s="20" t="s">
        <v>76</v>
      </c>
      <c r="C45" s="21"/>
      <c r="D45" s="90">
        <v>20300</v>
      </c>
      <c r="E45" s="21"/>
    </row>
    <row r="46" spans="1:5" ht="19.5" customHeight="1">
      <c r="A46" s="6"/>
      <c r="B46" s="20" t="s">
        <v>88</v>
      </c>
      <c r="C46" s="21"/>
      <c r="D46" s="90">
        <v>5869.25</v>
      </c>
      <c r="E46" s="21"/>
    </row>
    <row r="47" spans="1:5" ht="19.5" customHeight="1" hidden="1">
      <c r="A47" s="6"/>
      <c r="B47" s="20" t="s">
        <v>152</v>
      </c>
      <c r="C47" s="21"/>
      <c r="D47" s="90"/>
      <c r="E47" s="21"/>
    </row>
    <row r="48" spans="1:5" ht="19.5" customHeight="1">
      <c r="A48" s="6"/>
      <c r="B48" s="20" t="s">
        <v>91</v>
      </c>
      <c r="C48" s="21"/>
      <c r="D48" s="90">
        <v>30903.88</v>
      </c>
      <c r="E48" s="21"/>
    </row>
    <row r="49" spans="1:5" ht="19.5" customHeight="1">
      <c r="A49" s="6"/>
      <c r="B49" s="20" t="s">
        <v>386</v>
      </c>
      <c r="C49" s="21"/>
      <c r="D49" s="90">
        <v>3200</v>
      </c>
      <c r="E49" s="21"/>
    </row>
    <row r="50" spans="1:5" ht="19.5" customHeight="1" hidden="1">
      <c r="A50" s="6"/>
      <c r="B50" s="20" t="s">
        <v>75</v>
      </c>
      <c r="C50" s="21"/>
      <c r="D50" s="90"/>
      <c r="E50" s="21"/>
    </row>
    <row r="51" spans="1:5" ht="19.5" customHeight="1" thickBot="1">
      <c r="A51" s="6"/>
      <c r="B51" s="20"/>
      <c r="C51" s="6" t="s">
        <v>53</v>
      </c>
      <c r="D51" s="161">
        <f>SUM(D33:D50)</f>
        <v>103207.53</v>
      </c>
      <c r="E51" s="21"/>
    </row>
    <row r="52" spans="1:5" ht="19.5" customHeight="1" thickTop="1">
      <c r="A52" s="6"/>
      <c r="B52" s="20"/>
      <c r="C52" s="6"/>
      <c r="D52" s="156"/>
      <c r="E52" s="21"/>
    </row>
    <row r="53" spans="1:5" ht="19.5" customHeight="1">
      <c r="A53" s="6"/>
      <c r="B53" s="20"/>
      <c r="C53" s="6"/>
      <c r="D53" s="156"/>
      <c r="E53" s="21"/>
    </row>
    <row r="54" spans="1:5" ht="19.5" customHeight="1">
      <c r="A54" s="6"/>
      <c r="B54" s="20"/>
      <c r="C54" s="6"/>
      <c r="D54" s="156"/>
      <c r="E54" s="21"/>
    </row>
    <row r="55" spans="1:5" ht="19.5" customHeight="1">
      <c r="A55" s="6"/>
      <c r="B55" s="20"/>
      <c r="C55" s="6"/>
      <c r="D55" s="156"/>
      <c r="E55" s="21"/>
    </row>
    <row r="56" spans="1:5" ht="20.25" customHeight="1">
      <c r="A56" s="6"/>
      <c r="B56" s="20"/>
      <c r="C56" s="6"/>
      <c r="D56" s="156"/>
      <c r="E56" s="21"/>
    </row>
    <row r="57" spans="1:5" ht="12.75" customHeight="1">
      <c r="A57" s="6"/>
      <c r="B57" s="20"/>
      <c r="C57" s="6"/>
      <c r="D57" s="156"/>
      <c r="E57" s="21"/>
    </row>
    <row r="58" spans="1:5" ht="20.25" customHeight="1">
      <c r="A58" s="6"/>
      <c r="B58" s="20"/>
      <c r="C58" s="6"/>
      <c r="D58" s="156"/>
      <c r="E58" s="21"/>
    </row>
    <row r="59" spans="1:5" ht="20.25" customHeight="1">
      <c r="A59" s="6"/>
      <c r="B59" s="20"/>
      <c r="C59" s="6"/>
      <c r="D59" s="156"/>
      <c r="E59" s="21"/>
    </row>
    <row r="60" spans="1:5" ht="20.25" customHeight="1">
      <c r="A60" s="6"/>
      <c r="B60" s="20"/>
      <c r="C60" s="6"/>
      <c r="D60" s="156"/>
      <c r="E60" s="21"/>
    </row>
    <row r="61" spans="1:5" ht="20.25" customHeight="1">
      <c r="A61" s="6"/>
      <c r="B61" s="20"/>
      <c r="C61" s="6"/>
      <c r="D61" s="156"/>
      <c r="E61" s="21"/>
    </row>
    <row r="62" spans="1:5" ht="20.25" customHeight="1">
      <c r="A62" s="6"/>
      <c r="B62" s="20"/>
      <c r="C62" s="6"/>
      <c r="D62" s="156"/>
      <c r="E62" s="21"/>
    </row>
    <row r="63" spans="1:5" ht="20.25" customHeight="1">
      <c r="A63" s="6"/>
      <c r="B63" s="20"/>
      <c r="C63" s="6"/>
      <c r="D63" s="156"/>
      <c r="E63" s="21"/>
    </row>
    <row r="64" spans="1:5" ht="20.25" customHeight="1">
      <c r="A64" s="300" t="s">
        <v>165</v>
      </c>
      <c r="B64" s="300"/>
      <c r="C64" s="300"/>
      <c r="D64" s="300"/>
      <c r="E64" s="21"/>
    </row>
    <row r="65" spans="1:5" ht="20.25" customHeight="1">
      <c r="A65" s="299" t="s">
        <v>166</v>
      </c>
      <c r="B65" s="299"/>
      <c r="C65" s="299"/>
      <c r="D65" s="299"/>
      <c r="E65" s="21"/>
    </row>
    <row r="66" spans="1:5" ht="20.25" customHeight="1">
      <c r="A66" s="6"/>
      <c r="B66" s="20"/>
      <c r="C66" s="6"/>
      <c r="D66" s="168"/>
      <c r="E66" s="6"/>
    </row>
    <row r="67" spans="1:5" ht="20.25" customHeight="1">
      <c r="A67" s="6"/>
      <c r="B67" s="20"/>
      <c r="C67" s="6"/>
      <c r="D67" s="168"/>
      <c r="E67" s="6"/>
    </row>
    <row r="68" spans="1:5" ht="20.25" customHeight="1">
      <c r="A68" s="6"/>
      <c r="B68" s="20"/>
      <c r="C68" s="6"/>
      <c r="D68" s="168"/>
      <c r="E68" s="6"/>
    </row>
    <row r="69" spans="1:5" ht="20.25" customHeight="1">
      <c r="A69" s="6"/>
      <c r="B69" s="20"/>
      <c r="C69" s="6"/>
      <c r="D69" s="168"/>
      <c r="E69" s="6"/>
    </row>
    <row r="70" spans="1:5" ht="20.25" customHeight="1">
      <c r="A70" s="6"/>
      <c r="B70" s="20"/>
      <c r="C70" s="6"/>
      <c r="D70" s="168"/>
      <c r="E70" s="6"/>
    </row>
    <row r="71" spans="1:5" ht="20.25" customHeight="1">
      <c r="A71" s="6"/>
      <c r="B71" s="20"/>
      <c r="C71" s="6"/>
      <c r="D71" s="168"/>
      <c r="E71" s="6"/>
    </row>
    <row r="72" spans="1:5" ht="20.25" customHeight="1">
      <c r="A72" s="6"/>
      <c r="B72" s="20"/>
      <c r="C72" s="6"/>
      <c r="D72" s="168"/>
      <c r="E72" s="6"/>
    </row>
    <row r="73" spans="1:5" ht="20.25" customHeight="1">
      <c r="A73" s="6"/>
      <c r="B73" s="20"/>
      <c r="C73" s="6"/>
      <c r="D73" s="168"/>
      <c r="E73" s="6"/>
    </row>
    <row r="74" spans="1:5" ht="20.25" customHeight="1">
      <c r="A74" s="6"/>
      <c r="B74" s="20"/>
      <c r="C74" s="6"/>
      <c r="D74" s="168"/>
      <c r="E74" s="6"/>
    </row>
    <row r="75" spans="1:5" ht="20.25" customHeight="1">
      <c r="A75" s="6"/>
      <c r="B75" s="20"/>
      <c r="C75" s="6"/>
      <c r="D75" s="168"/>
      <c r="E75" s="6"/>
    </row>
    <row r="76" spans="1:5" ht="20.25" customHeight="1">
      <c r="A76" s="6"/>
      <c r="B76" s="20"/>
      <c r="C76" s="6"/>
      <c r="D76" s="168"/>
      <c r="E76" s="6"/>
    </row>
    <row r="77" spans="1:5" ht="20.25" customHeight="1">
      <c r="A77" s="6"/>
      <c r="B77" s="20"/>
      <c r="C77" s="6"/>
      <c r="D77" s="168"/>
      <c r="E77" s="6"/>
    </row>
    <row r="78" spans="1:5" ht="20.25" customHeight="1">
      <c r="A78" s="6"/>
      <c r="B78" s="20"/>
      <c r="C78" s="6"/>
      <c r="D78" s="168"/>
      <c r="E78" s="6"/>
    </row>
    <row r="79" spans="1:5" ht="20.25" customHeight="1">
      <c r="A79" s="6"/>
      <c r="B79" s="20"/>
      <c r="C79" s="6"/>
      <c r="D79" s="168"/>
      <c r="E79" s="6"/>
    </row>
    <row r="80" spans="1:5" ht="20.25" customHeight="1">
      <c r="A80" s="6"/>
      <c r="B80" s="20"/>
      <c r="C80" s="6"/>
      <c r="D80" s="168"/>
      <c r="E80" s="6"/>
    </row>
    <row r="81" spans="1:5" ht="22.5">
      <c r="A81" s="6"/>
      <c r="B81" s="20"/>
      <c r="C81" s="6"/>
      <c r="D81" s="168"/>
      <c r="E81" s="6"/>
    </row>
    <row r="82" spans="1:5" ht="22.5">
      <c r="A82" s="6"/>
      <c r="B82" s="20"/>
      <c r="C82" s="6"/>
      <c r="D82" s="168"/>
      <c r="E82" s="6"/>
    </row>
    <row r="83" spans="1:5" ht="21" customHeight="1">
      <c r="A83" s="6"/>
      <c r="B83" s="20"/>
      <c r="C83" s="6"/>
      <c r="D83" s="168"/>
      <c r="E83" s="6"/>
    </row>
    <row r="84" spans="1:5" ht="21" customHeight="1">
      <c r="A84" s="6"/>
      <c r="B84" s="20"/>
      <c r="C84" s="6"/>
      <c r="D84" s="168"/>
      <c r="E84" s="6"/>
    </row>
    <row r="85" spans="1:5" ht="21" customHeight="1">
      <c r="A85" s="6"/>
      <c r="B85" s="20"/>
      <c r="C85" s="6"/>
      <c r="D85" s="168"/>
      <c r="E85" s="6"/>
    </row>
    <row r="86" spans="1:5" ht="21" customHeight="1">
      <c r="A86" s="6"/>
      <c r="B86" s="20"/>
      <c r="C86" s="6"/>
      <c r="D86" s="168"/>
      <c r="E86" s="6"/>
    </row>
    <row r="87" spans="1:5" ht="21" customHeight="1">
      <c r="A87" s="6"/>
      <c r="B87" s="20"/>
      <c r="C87" s="6"/>
      <c r="D87" s="168"/>
      <c r="E87" s="6"/>
    </row>
    <row r="88" spans="1:4" ht="21" customHeight="1">
      <c r="A88" s="5"/>
      <c r="B88" s="20"/>
      <c r="D88" s="19"/>
    </row>
    <row r="89" spans="1:4" ht="21" customHeight="1">
      <c r="A89" s="5"/>
      <c r="B89" s="20"/>
      <c r="D89" s="19"/>
    </row>
    <row r="90" spans="1:4" ht="21" customHeight="1">
      <c r="A90" s="5"/>
      <c r="B90" s="20"/>
      <c r="D90" s="19"/>
    </row>
    <row r="91" spans="1:4" ht="21" customHeight="1">
      <c r="A91" s="5"/>
      <c r="B91" s="20"/>
      <c r="D91" s="19"/>
    </row>
    <row r="92" spans="1:4" ht="21" customHeight="1">
      <c r="A92" s="5"/>
      <c r="B92" s="20"/>
      <c r="D92" s="19"/>
    </row>
    <row r="93" spans="1:4" ht="21" customHeight="1">
      <c r="A93" s="5"/>
      <c r="B93" s="20"/>
      <c r="D93" s="19"/>
    </row>
    <row r="94" spans="1:4" ht="21" customHeight="1">
      <c r="A94" s="5"/>
      <c r="B94" s="20"/>
      <c r="D94" s="19"/>
    </row>
    <row r="95" spans="1:4" ht="21" customHeight="1">
      <c r="A95" s="5"/>
      <c r="B95" s="20"/>
      <c r="D95" s="19"/>
    </row>
    <row r="96" spans="1:4" ht="22.5">
      <c r="A96" s="5"/>
      <c r="B96" s="20"/>
      <c r="D96" s="19"/>
    </row>
    <row r="97" spans="1:4" ht="22.5">
      <c r="A97" s="5"/>
      <c r="B97" s="20"/>
      <c r="C97" s="21"/>
      <c r="D97" s="90"/>
    </row>
    <row r="98" spans="1:4" ht="22.5">
      <c r="A98" s="6"/>
      <c r="B98" s="6"/>
      <c r="C98" s="18"/>
      <c r="D98" s="6"/>
    </row>
    <row r="99" spans="1:4" ht="22.5">
      <c r="A99" s="6"/>
      <c r="B99" s="6"/>
      <c r="C99" s="6"/>
      <c r="D99" s="6"/>
    </row>
    <row r="100" spans="1:4" ht="22.5">
      <c r="A100" s="5"/>
      <c r="B100" s="20"/>
      <c r="C100" s="21"/>
      <c r="D100" s="90"/>
    </row>
    <row r="101" spans="1:4" ht="22.5">
      <c r="A101" s="5"/>
      <c r="B101" s="20"/>
      <c r="C101" s="21"/>
      <c r="D101" s="90"/>
    </row>
    <row r="102" spans="1:4" ht="22.5">
      <c r="A102" s="5"/>
      <c r="B102" s="20"/>
      <c r="C102" s="21"/>
      <c r="D102" s="90"/>
    </row>
    <row r="103" spans="1:5" ht="22.5">
      <c r="A103" s="5"/>
      <c r="B103" s="21"/>
      <c r="C103" s="21"/>
      <c r="D103" s="85"/>
      <c r="E103" s="21"/>
    </row>
    <row r="104" spans="1:5" ht="22.5">
      <c r="A104" s="5"/>
      <c r="B104" s="21"/>
      <c r="C104" s="21"/>
      <c r="D104" s="85"/>
      <c r="E104" s="21"/>
    </row>
    <row r="105" spans="1:5" ht="22.5">
      <c r="A105" s="6"/>
      <c r="B105" s="6"/>
      <c r="C105" s="18"/>
      <c r="D105" s="6"/>
      <c r="E105" s="21"/>
    </row>
    <row r="106" spans="1:5" ht="22.5">
      <c r="A106" s="5"/>
      <c r="B106" s="5"/>
      <c r="C106" s="5"/>
      <c r="D106" s="5"/>
      <c r="E106" s="5"/>
    </row>
    <row r="107" spans="1:5" ht="22.5">
      <c r="A107" s="5"/>
      <c r="B107" s="5"/>
      <c r="C107" s="5"/>
      <c r="D107" s="5"/>
      <c r="E107" s="5"/>
    </row>
  </sheetData>
  <sheetProtection/>
  <mergeCells count="5">
    <mergeCell ref="A65:D65"/>
    <mergeCell ref="A64:D64"/>
    <mergeCell ref="A2:E2"/>
    <mergeCell ref="A3:E3"/>
    <mergeCell ref="A4:E4"/>
  </mergeCells>
  <printOptions/>
  <pageMargins left="0.5905511811023623" right="0.3937007874015748" top="0" bottom="0" header="0.07874015748031496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6"/>
  <sheetViews>
    <sheetView tabSelected="1" view="pageBreakPreview" zoomScaleSheetLayoutView="100" zoomScalePageLayoutView="0" workbookViewId="0" topLeftCell="A283">
      <selection activeCell="J16" sqref="J16"/>
    </sheetView>
  </sheetViews>
  <sheetFormatPr defaultColWidth="9.140625" defaultRowHeight="21.75"/>
  <cols>
    <col min="1" max="1" width="22.421875" style="0" customWidth="1"/>
    <col min="2" max="2" width="7.28125" style="0" customWidth="1"/>
    <col min="19" max="19" width="10.140625" style="0" customWidth="1"/>
  </cols>
  <sheetData>
    <row r="1" spans="1:19" ht="19.5" customHeight="1">
      <c r="A1" s="325" t="s">
        <v>239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1:19" ht="19.5" customHeight="1">
      <c r="A2" s="325" t="s">
        <v>403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</row>
    <row r="3" spans="1:19" ht="5.2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19" ht="16.5" customHeight="1">
      <c r="A4" s="207"/>
      <c r="B4" s="207" t="s">
        <v>240</v>
      </c>
      <c r="C4" s="322" t="s">
        <v>22</v>
      </c>
      <c r="D4" s="323"/>
      <c r="E4" s="209" t="s">
        <v>241</v>
      </c>
      <c r="F4" s="322" t="s">
        <v>26</v>
      </c>
      <c r="G4" s="323"/>
      <c r="H4" s="210" t="s">
        <v>73</v>
      </c>
      <c r="I4" s="208" t="s">
        <v>242</v>
      </c>
      <c r="J4" s="322" t="s">
        <v>23</v>
      </c>
      <c r="K4" s="323"/>
      <c r="L4" s="322" t="s">
        <v>208</v>
      </c>
      <c r="M4" s="323"/>
      <c r="N4" s="322" t="s">
        <v>243</v>
      </c>
      <c r="O4" s="324"/>
      <c r="P4" s="323"/>
      <c r="Q4" s="211" t="s">
        <v>218</v>
      </c>
      <c r="R4" s="210" t="s">
        <v>157</v>
      </c>
      <c r="S4" s="310" t="s">
        <v>53</v>
      </c>
    </row>
    <row r="5" spans="1:19" ht="16.5" customHeight="1">
      <c r="A5" s="212"/>
      <c r="B5" s="213"/>
      <c r="C5" s="319" t="s">
        <v>244</v>
      </c>
      <c r="D5" s="320"/>
      <c r="E5" s="214" t="s">
        <v>245</v>
      </c>
      <c r="F5" s="319" t="s">
        <v>246</v>
      </c>
      <c r="G5" s="320"/>
      <c r="H5" s="216" t="s">
        <v>247</v>
      </c>
      <c r="I5" s="215" t="s">
        <v>248</v>
      </c>
      <c r="J5" s="319" t="s">
        <v>249</v>
      </c>
      <c r="K5" s="320"/>
      <c r="L5" s="319" t="s">
        <v>250</v>
      </c>
      <c r="M5" s="320"/>
      <c r="N5" s="319" t="s">
        <v>251</v>
      </c>
      <c r="O5" s="321"/>
      <c r="P5" s="320"/>
      <c r="Q5" s="215" t="s">
        <v>252</v>
      </c>
      <c r="R5" s="216" t="s">
        <v>253</v>
      </c>
      <c r="S5" s="311"/>
    </row>
    <row r="6" spans="1:19" ht="16.5" customHeight="1">
      <c r="A6" s="212"/>
      <c r="B6" s="213"/>
      <c r="C6" s="217" t="s">
        <v>21</v>
      </c>
      <c r="D6" s="217" t="s">
        <v>24</v>
      </c>
      <c r="E6" s="217" t="s">
        <v>21</v>
      </c>
      <c r="F6" s="217" t="s">
        <v>21</v>
      </c>
      <c r="G6" s="217" t="s">
        <v>27</v>
      </c>
      <c r="H6" s="217" t="s">
        <v>254</v>
      </c>
      <c r="I6" s="217" t="s">
        <v>255</v>
      </c>
      <c r="J6" s="217" t="s">
        <v>21</v>
      </c>
      <c r="K6" s="217" t="s">
        <v>256</v>
      </c>
      <c r="L6" s="217" t="s">
        <v>21</v>
      </c>
      <c r="M6" s="217" t="s">
        <v>257</v>
      </c>
      <c r="N6" s="217" t="s">
        <v>258</v>
      </c>
      <c r="O6" s="217" t="s">
        <v>259</v>
      </c>
      <c r="P6" s="217" t="s">
        <v>260</v>
      </c>
      <c r="Q6" s="217" t="s">
        <v>261</v>
      </c>
      <c r="R6" s="217" t="s">
        <v>157</v>
      </c>
      <c r="S6" s="311"/>
    </row>
    <row r="7" spans="1:19" ht="16.5" customHeight="1">
      <c r="A7" s="212"/>
      <c r="B7" s="213"/>
      <c r="C7" s="218"/>
      <c r="D7" s="218"/>
      <c r="E7" s="218" t="s">
        <v>262</v>
      </c>
      <c r="F7" s="218" t="s">
        <v>13</v>
      </c>
      <c r="G7" s="218" t="s">
        <v>111</v>
      </c>
      <c r="H7" s="218" t="s">
        <v>74</v>
      </c>
      <c r="I7" s="218" t="s">
        <v>74</v>
      </c>
      <c r="J7" s="218" t="s">
        <v>263</v>
      </c>
      <c r="K7" s="218" t="s">
        <v>264</v>
      </c>
      <c r="L7" s="218" t="s">
        <v>265</v>
      </c>
      <c r="M7" s="218" t="s">
        <v>266</v>
      </c>
      <c r="N7" s="218" t="s">
        <v>225</v>
      </c>
      <c r="O7" s="218" t="s">
        <v>228</v>
      </c>
      <c r="P7" s="218" t="s">
        <v>267</v>
      </c>
      <c r="Q7" s="218" t="s">
        <v>268</v>
      </c>
      <c r="R7" s="218"/>
      <c r="S7" s="311"/>
    </row>
    <row r="8" spans="1:19" ht="16.5" customHeight="1">
      <c r="A8" s="212"/>
      <c r="B8" s="213"/>
      <c r="C8" s="218"/>
      <c r="D8" s="218"/>
      <c r="E8" s="218" t="s">
        <v>269</v>
      </c>
      <c r="F8" s="219"/>
      <c r="G8" s="218"/>
      <c r="H8" s="218" t="s">
        <v>270</v>
      </c>
      <c r="I8" s="218" t="s">
        <v>242</v>
      </c>
      <c r="J8" s="218" t="s">
        <v>142</v>
      </c>
      <c r="K8" s="218" t="s">
        <v>271</v>
      </c>
      <c r="L8" s="218" t="s">
        <v>272</v>
      </c>
      <c r="M8" s="218" t="s">
        <v>273</v>
      </c>
      <c r="N8" s="218"/>
      <c r="O8" s="218" t="s">
        <v>274</v>
      </c>
      <c r="P8" s="218" t="s">
        <v>275</v>
      </c>
      <c r="Q8" s="218" t="s">
        <v>219</v>
      </c>
      <c r="R8" s="218"/>
      <c r="S8" s="311"/>
    </row>
    <row r="9" spans="1:19" ht="16.5" customHeight="1">
      <c r="A9" s="220" t="s">
        <v>276</v>
      </c>
      <c r="B9" s="221"/>
      <c r="C9" s="222" t="s">
        <v>277</v>
      </c>
      <c r="D9" s="222" t="s">
        <v>278</v>
      </c>
      <c r="E9" s="222" t="s">
        <v>279</v>
      </c>
      <c r="F9" s="222" t="s">
        <v>280</v>
      </c>
      <c r="G9" s="222" t="s">
        <v>281</v>
      </c>
      <c r="H9" s="222" t="s">
        <v>282</v>
      </c>
      <c r="I9" s="222" t="s">
        <v>283</v>
      </c>
      <c r="J9" s="222" t="s">
        <v>284</v>
      </c>
      <c r="K9" s="222" t="s">
        <v>285</v>
      </c>
      <c r="L9" s="222" t="s">
        <v>286</v>
      </c>
      <c r="M9" s="222" t="s">
        <v>287</v>
      </c>
      <c r="N9" s="222" t="s">
        <v>288</v>
      </c>
      <c r="O9" s="222" t="s">
        <v>289</v>
      </c>
      <c r="P9" s="222" t="s">
        <v>290</v>
      </c>
      <c r="Q9" s="222" t="s">
        <v>291</v>
      </c>
      <c r="R9" s="222" t="s">
        <v>292</v>
      </c>
      <c r="S9" s="312"/>
    </row>
    <row r="10" spans="1:19" ht="15" customHeight="1">
      <c r="A10" s="223" t="s">
        <v>157</v>
      </c>
      <c r="B10" s="224">
        <v>5100000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6"/>
      <c r="S10" s="225"/>
    </row>
    <row r="11" spans="1:19" ht="15" customHeight="1">
      <c r="A11" s="227" t="s">
        <v>293</v>
      </c>
      <c r="B11" s="228">
        <v>5110300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30">
        <v>16552</v>
      </c>
      <c r="S11" s="229">
        <f aca="true" t="shared" si="0" ref="S11:S20">SUM(R11)</f>
        <v>16552</v>
      </c>
    </row>
    <row r="12" spans="1:19" ht="15" customHeight="1">
      <c r="A12" s="227" t="s">
        <v>370</v>
      </c>
      <c r="B12" s="228">
        <v>5110301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30"/>
      <c r="S12" s="229">
        <f t="shared" si="0"/>
        <v>0</v>
      </c>
    </row>
    <row r="13" spans="1:19" ht="15" customHeight="1">
      <c r="A13" s="227" t="s">
        <v>294</v>
      </c>
      <c r="B13" s="228">
        <v>5110700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30">
        <v>987100</v>
      </c>
      <c r="S13" s="229">
        <f t="shared" si="0"/>
        <v>987100</v>
      </c>
    </row>
    <row r="14" spans="1:19" ht="15" customHeight="1">
      <c r="A14" s="227" t="s">
        <v>295</v>
      </c>
      <c r="B14" s="228">
        <v>5110800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30">
        <v>174400</v>
      </c>
      <c r="S14" s="229">
        <f t="shared" si="0"/>
        <v>174400</v>
      </c>
    </row>
    <row r="15" spans="1:19" ht="15" customHeight="1">
      <c r="A15" s="227" t="s">
        <v>296</v>
      </c>
      <c r="B15" s="228">
        <v>5110900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30">
        <v>13000</v>
      </c>
      <c r="S15" s="229">
        <f t="shared" si="0"/>
        <v>13000</v>
      </c>
    </row>
    <row r="16" spans="1:19" ht="15" customHeight="1">
      <c r="A16" s="227" t="s">
        <v>297</v>
      </c>
      <c r="B16" s="228">
        <v>5111000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30"/>
      <c r="S16" s="229">
        <f t="shared" si="0"/>
        <v>0</v>
      </c>
    </row>
    <row r="17" spans="1:19" ht="15" customHeight="1">
      <c r="A17" s="227" t="s">
        <v>298</v>
      </c>
      <c r="B17" s="228">
        <v>5111100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30"/>
      <c r="S17" s="229">
        <f t="shared" si="0"/>
        <v>0</v>
      </c>
    </row>
    <row r="18" spans="1:19" ht="15" customHeight="1">
      <c r="A18" s="227" t="s">
        <v>299</v>
      </c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30"/>
      <c r="S18" s="229">
        <f t="shared" si="0"/>
        <v>0</v>
      </c>
    </row>
    <row r="19" spans="1:19" ht="15" customHeight="1">
      <c r="A19" s="227" t="s">
        <v>300</v>
      </c>
      <c r="B19" s="228">
        <v>5120100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30"/>
      <c r="S19" s="229">
        <f t="shared" si="0"/>
        <v>0</v>
      </c>
    </row>
    <row r="20" spans="1:19" ht="15" customHeight="1">
      <c r="A20" s="227" t="s">
        <v>301</v>
      </c>
      <c r="B20" s="228">
        <v>5120900</v>
      </c>
      <c r="C20" s="229"/>
      <c r="D20" s="229"/>
      <c r="E20" s="229"/>
      <c r="F20" s="229"/>
      <c r="G20" s="229"/>
      <c r="H20" s="230"/>
      <c r="I20" s="229"/>
      <c r="J20" s="229"/>
      <c r="K20" s="229"/>
      <c r="L20" s="229"/>
      <c r="M20" s="229"/>
      <c r="N20" s="229"/>
      <c r="O20" s="229"/>
      <c r="P20" s="229"/>
      <c r="Q20" s="229"/>
      <c r="R20" s="230"/>
      <c r="S20" s="229">
        <f t="shared" si="0"/>
        <v>0</v>
      </c>
    </row>
    <row r="21" spans="1:19" ht="15" customHeight="1">
      <c r="A21" s="231" t="s">
        <v>302</v>
      </c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>
        <f>SUM(R4:R20)</f>
        <v>1191052</v>
      </c>
      <c r="S21" s="229">
        <f>SUM(S4:S20)</f>
        <v>1191052</v>
      </c>
    </row>
    <row r="22" spans="1:19" ht="15.75" customHeight="1" thickBot="1">
      <c r="A22" s="232" t="s">
        <v>303</v>
      </c>
      <c r="B22" s="233"/>
      <c r="C22" s="234"/>
      <c r="D22" s="234"/>
      <c r="E22" s="234"/>
      <c r="F22" s="234"/>
      <c r="G22" s="234"/>
      <c r="H22" s="235"/>
      <c r="I22" s="234"/>
      <c r="J22" s="234"/>
      <c r="K22" s="234"/>
      <c r="L22" s="234"/>
      <c r="M22" s="234"/>
      <c r="N22" s="234"/>
      <c r="O22" s="234"/>
      <c r="P22" s="234"/>
      <c r="Q22" s="234"/>
      <c r="R22" s="234">
        <f>0+1188036+1931764.91+1201507+1793666+1466000+1216143+1191052</f>
        <v>9988168.91</v>
      </c>
      <c r="S22" s="234">
        <f>0+1188036+1931764.91+1201507+1793666+1466000+1216143+1191052</f>
        <v>9988168.91</v>
      </c>
    </row>
    <row r="23" spans="1:19" ht="15.75" customHeight="1" thickTop="1">
      <c r="A23" s="223" t="s">
        <v>304</v>
      </c>
      <c r="B23" s="224">
        <v>5210000</v>
      </c>
      <c r="C23" s="226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</row>
    <row r="24" spans="1:19" ht="15.75" customHeight="1">
      <c r="A24" s="236" t="s">
        <v>305</v>
      </c>
      <c r="B24" s="237">
        <v>5210100</v>
      </c>
      <c r="C24" s="230">
        <v>57960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>
        <f>SUM(C24:R24)</f>
        <v>57960</v>
      </c>
    </row>
    <row r="25" spans="1:19" ht="15.75" customHeight="1">
      <c r="A25" s="227" t="s">
        <v>306</v>
      </c>
      <c r="B25" s="228">
        <v>5210200</v>
      </c>
      <c r="C25" s="230">
        <v>10000</v>
      </c>
      <c r="D25" s="238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>
        <f>SUM(C25:R25)</f>
        <v>10000</v>
      </c>
    </row>
    <row r="26" spans="1:19" ht="15.75" customHeight="1">
      <c r="A26" s="227" t="s">
        <v>307</v>
      </c>
      <c r="B26" s="228">
        <v>5210300</v>
      </c>
      <c r="C26" s="230">
        <v>10000</v>
      </c>
      <c r="D26" s="23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>
        <f>SUM(C26:R26)</f>
        <v>10000</v>
      </c>
    </row>
    <row r="27" spans="1:19" ht="15.75" customHeight="1">
      <c r="A27" s="227" t="s">
        <v>308</v>
      </c>
      <c r="B27" s="228">
        <v>5210400</v>
      </c>
      <c r="C27" s="230">
        <v>16560</v>
      </c>
      <c r="D27" s="238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>
        <f>SUM(C27:R27)</f>
        <v>16560</v>
      </c>
    </row>
    <row r="28" spans="1:19" ht="15.75" customHeight="1">
      <c r="A28" s="227" t="s">
        <v>309</v>
      </c>
      <c r="B28" s="228">
        <v>5210600</v>
      </c>
      <c r="C28" s="230">
        <v>80730</v>
      </c>
      <c r="D28" s="238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>
        <f>SUM(C28:R28)</f>
        <v>80730</v>
      </c>
    </row>
    <row r="29" spans="1:19" ht="15.75" customHeight="1">
      <c r="A29" s="231" t="s">
        <v>302</v>
      </c>
      <c r="B29" s="228"/>
      <c r="C29" s="239">
        <f aca="true" t="shared" si="1" ref="C29:S29">SUM(C24:C28)</f>
        <v>175250</v>
      </c>
      <c r="D29" s="239">
        <f t="shared" si="1"/>
        <v>0</v>
      </c>
      <c r="E29" s="239">
        <f t="shared" si="1"/>
        <v>0</v>
      </c>
      <c r="F29" s="239">
        <f t="shared" si="1"/>
        <v>0</v>
      </c>
      <c r="G29" s="239">
        <f t="shared" si="1"/>
        <v>0</v>
      </c>
      <c r="H29" s="239">
        <f t="shared" si="1"/>
        <v>0</v>
      </c>
      <c r="I29" s="239">
        <f t="shared" si="1"/>
        <v>0</v>
      </c>
      <c r="J29" s="239">
        <f t="shared" si="1"/>
        <v>0</v>
      </c>
      <c r="K29" s="239">
        <f t="shared" si="1"/>
        <v>0</v>
      </c>
      <c r="L29" s="239">
        <f t="shared" si="1"/>
        <v>0</v>
      </c>
      <c r="M29" s="239">
        <f t="shared" si="1"/>
        <v>0</v>
      </c>
      <c r="N29" s="239">
        <f t="shared" si="1"/>
        <v>0</v>
      </c>
      <c r="O29" s="239">
        <f t="shared" si="1"/>
        <v>0</v>
      </c>
      <c r="P29" s="239">
        <f t="shared" si="1"/>
        <v>0</v>
      </c>
      <c r="Q29" s="239">
        <f t="shared" si="1"/>
        <v>0</v>
      </c>
      <c r="R29" s="239">
        <f t="shared" si="1"/>
        <v>0</v>
      </c>
      <c r="S29" s="239">
        <f t="shared" si="1"/>
        <v>175250</v>
      </c>
    </row>
    <row r="30" spans="1:19" ht="15.75" customHeight="1" thickBot="1">
      <c r="A30" s="232" t="s">
        <v>303</v>
      </c>
      <c r="B30" s="233"/>
      <c r="C30" s="234">
        <f>0+175250+175250+175250+175250+175250+175250+175250</f>
        <v>1226750</v>
      </c>
      <c r="D30" s="234">
        <f>0</f>
        <v>0</v>
      </c>
      <c r="E30" s="234">
        <f>0</f>
        <v>0</v>
      </c>
      <c r="F30" s="234">
        <f>0</f>
        <v>0</v>
      </c>
      <c r="G30" s="234">
        <f>0</f>
        <v>0</v>
      </c>
      <c r="H30" s="234">
        <f>0</f>
        <v>0</v>
      </c>
      <c r="I30" s="234">
        <f>0</f>
        <v>0</v>
      </c>
      <c r="J30" s="234">
        <f>0</f>
        <v>0</v>
      </c>
      <c r="K30" s="234">
        <f>0</f>
        <v>0</v>
      </c>
      <c r="L30" s="234">
        <f>0</f>
        <v>0</v>
      </c>
      <c r="M30" s="234">
        <f>0</f>
        <v>0</v>
      </c>
      <c r="N30" s="234">
        <f>0</f>
        <v>0</v>
      </c>
      <c r="O30" s="234">
        <f>0</f>
        <v>0</v>
      </c>
      <c r="P30" s="234">
        <f>0</f>
        <v>0</v>
      </c>
      <c r="Q30" s="234">
        <f>0</f>
        <v>0</v>
      </c>
      <c r="R30" s="234">
        <f>0</f>
        <v>0</v>
      </c>
      <c r="S30" s="234">
        <f>0+175250+175250+175250+175250+175250+175250+175250</f>
        <v>1226750</v>
      </c>
    </row>
    <row r="31" spans="1:19" ht="15.75" customHeight="1" thickTop="1">
      <c r="A31" s="223" t="s">
        <v>310</v>
      </c>
      <c r="B31" s="224">
        <v>5220000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</row>
    <row r="32" spans="1:19" ht="15.75" customHeight="1">
      <c r="A32" s="227" t="s">
        <v>311</v>
      </c>
      <c r="B32" s="228">
        <v>5220100</v>
      </c>
      <c r="C32" s="230">
        <v>235070</v>
      </c>
      <c r="D32" s="230">
        <v>118090</v>
      </c>
      <c r="E32" s="230"/>
      <c r="F32" s="229">
        <v>151060</v>
      </c>
      <c r="G32" s="229"/>
      <c r="H32" s="229"/>
      <c r="I32" s="229"/>
      <c r="J32" s="230">
        <v>70840</v>
      </c>
      <c r="K32" s="229"/>
      <c r="L32" s="229"/>
      <c r="M32" s="229"/>
      <c r="N32" s="229"/>
      <c r="O32" s="229"/>
      <c r="P32" s="229"/>
      <c r="Q32" s="229"/>
      <c r="R32" s="229"/>
      <c r="S32" s="229">
        <f>SUM(C32:R32)</f>
        <v>575060</v>
      </c>
    </row>
    <row r="33" spans="1:19" ht="15.75" customHeight="1">
      <c r="A33" s="227" t="s">
        <v>312</v>
      </c>
      <c r="B33" s="228">
        <v>5220200</v>
      </c>
      <c r="C33" s="230">
        <v>14860</v>
      </c>
      <c r="D33" s="230">
        <v>3550</v>
      </c>
      <c r="E33" s="230"/>
      <c r="F33" s="229">
        <v>0</v>
      </c>
      <c r="G33" s="229"/>
      <c r="H33" s="229"/>
      <c r="I33" s="229"/>
      <c r="J33" s="230">
        <v>0</v>
      </c>
      <c r="K33" s="229"/>
      <c r="L33" s="229"/>
      <c r="M33" s="229"/>
      <c r="N33" s="229"/>
      <c r="O33" s="229"/>
      <c r="P33" s="229"/>
      <c r="Q33" s="229"/>
      <c r="R33" s="229"/>
      <c r="S33" s="229">
        <f>SUM(C33:R33)</f>
        <v>18410</v>
      </c>
    </row>
    <row r="34" spans="1:19" ht="15.75" customHeight="1">
      <c r="A34" s="227" t="s">
        <v>313</v>
      </c>
      <c r="B34" s="228">
        <v>5220300</v>
      </c>
      <c r="C34" s="230">
        <v>7000</v>
      </c>
      <c r="D34" s="230">
        <v>3500</v>
      </c>
      <c r="E34" s="230"/>
      <c r="F34" s="229">
        <v>0</v>
      </c>
      <c r="G34" s="229"/>
      <c r="H34" s="229"/>
      <c r="I34" s="229"/>
      <c r="J34" s="230">
        <v>3500</v>
      </c>
      <c r="K34" s="229"/>
      <c r="L34" s="229"/>
      <c r="M34" s="229"/>
      <c r="N34" s="229"/>
      <c r="O34" s="229"/>
      <c r="P34" s="229"/>
      <c r="Q34" s="229"/>
      <c r="R34" s="229"/>
      <c r="S34" s="229">
        <f>SUM(C34:R34)</f>
        <v>14000</v>
      </c>
    </row>
    <row r="35" spans="1:19" ht="15.75" customHeight="1">
      <c r="A35" s="227" t="s">
        <v>314</v>
      </c>
      <c r="B35" s="228">
        <v>5220500</v>
      </c>
      <c r="C35" s="230">
        <v>0</v>
      </c>
      <c r="D35" s="230">
        <v>17270</v>
      </c>
      <c r="E35" s="230"/>
      <c r="F35" s="229">
        <v>0</v>
      </c>
      <c r="G35" s="229"/>
      <c r="H35" s="229"/>
      <c r="I35" s="229"/>
      <c r="J35" s="230">
        <v>0</v>
      </c>
      <c r="K35" s="229"/>
      <c r="L35" s="229"/>
      <c r="M35" s="229"/>
      <c r="N35" s="229"/>
      <c r="O35" s="229"/>
      <c r="P35" s="229"/>
      <c r="Q35" s="229"/>
      <c r="R35" s="229"/>
      <c r="S35" s="229">
        <f>SUM(C35:R35)</f>
        <v>17270</v>
      </c>
    </row>
    <row r="36" spans="1:19" ht="15.75" customHeight="1">
      <c r="A36" s="227" t="s">
        <v>315</v>
      </c>
      <c r="B36" s="228">
        <v>5220600</v>
      </c>
      <c r="C36" s="230">
        <v>0</v>
      </c>
      <c r="D36" s="230">
        <v>0</v>
      </c>
      <c r="E36" s="230"/>
      <c r="F36" s="229">
        <v>0</v>
      </c>
      <c r="G36" s="229"/>
      <c r="H36" s="229"/>
      <c r="I36" s="229"/>
      <c r="J36" s="230">
        <v>0</v>
      </c>
      <c r="K36" s="229"/>
      <c r="L36" s="229"/>
      <c r="M36" s="229"/>
      <c r="N36" s="229"/>
      <c r="O36" s="229"/>
      <c r="P36" s="229"/>
      <c r="Q36" s="229"/>
      <c r="R36" s="229"/>
      <c r="S36" s="229">
        <f>SUM(C36:R36)</f>
        <v>0</v>
      </c>
    </row>
    <row r="37" spans="1:19" ht="16.5" customHeight="1">
      <c r="A37" s="207"/>
      <c r="B37" s="207" t="s">
        <v>240</v>
      </c>
      <c r="C37" s="322" t="s">
        <v>22</v>
      </c>
      <c r="D37" s="323"/>
      <c r="E37" s="209" t="s">
        <v>241</v>
      </c>
      <c r="F37" s="322" t="s">
        <v>26</v>
      </c>
      <c r="G37" s="323"/>
      <c r="H37" s="210" t="s">
        <v>73</v>
      </c>
      <c r="I37" s="208" t="s">
        <v>242</v>
      </c>
      <c r="J37" s="322" t="s">
        <v>23</v>
      </c>
      <c r="K37" s="323"/>
      <c r="L37" s="322" t="s">
        <v>208</v>
      </c>
      <c r="M37" s="323"/>
      <c r="N37" s="322" t="s">
        <v>243</v>
      </c>
      <c r="O37" s="324"/>
      <c r="P37" s="323"/>
      <c r="Q37" s="211" t="s">
        <v>218</v>
      </c>
      <c r="R37" s="210" t="s">
        <v>157</v>
      </c>
      <c r="S37" s="310" t="s">
        <v>53</v>
      </c>
    </row>
    <row r="38" spans="1:19" ht="16.5" customHeight="1">
      <c r="A38" s="212"/>
      <c r="B38" s="213"/>
      <c r="C38" s="319" t="s">
        <v>244</v>
      </c>
      <c r="D38" s="320"/>
      <c r="E38" s="214" t="s">
        <v>245</v>
      </c>
      <c r="F38" s="319" t="s">
        <v>246</v>
      </c>
      <c r="G38" s="320"/>
      <c r="H38" s="216" t="s">
        <v>247</v>
      </c>
      <c r="I38" s="215" t="s">
        <v>248</v>
      </c>
      <c r="J38" s="319" t="s">
        <v>249</v>
      </c>
      <c r="K38" s="320"/>
      <c r="L38" s="319" t="s">
        <v>250</v>
      </c>
      <c r="M38" s="320"/>
      <c r="N38" s="319" t="s">
        <v>251</v>
      </c>
      <c r="O38" s="321"/>
      <c r="P38" s="320"/>
      <c r="Q38" s="215" t="s">
        <v>252</v>
      </c>
      <c r="R38" s="216" t="s">
        <v>253</v>
      </c>
      <c r="S38" s="311"/>
    </row>
    <row r="39" spans="1:19" ht="16.5" customHeight="1">
      <c r="A39" s="212"/>
      <c r="B39" s="213"/>
      <c r="C39" s="217" t="s">
        <v>21</v>
      </c>
      <c r="D39" s="217" t="s">
        <v>24</v>
      </c>
      <c r="E39" s="217" t="s">
        <v>21</v>
      </c>
      <c r="F39" s="217" t="s">
        <v>21</v>
      </c>
      <c r="G39" s="217" t="s">
        <v>27</v>
      </c>
      <c r="H39" s="217" t="s">
        <v>254</v>
      </c>
      <c r="I39" s="217" t="s">
        <v>255</v>
      </c>
      <c r="J39" s="217" t="s">
        <v>21</v>
      </c>
      <c r="K39" s="217" t="s">
        <v>256</v>
      </c>
      <c r="L39" s="217" t="s">
        <v>21</v>
      </c>
      <c r="M39" s="217" t="s">
        <v>257</v>
      </c>
      <c r="N39" s="217" t="s">
        <v>258</v>
      </c>
      <c r="O39" s="217" t="s">
        <v>259</v>
      </c>
      <c r="P39" s="217" t="s">
        <v>260</v>
      </c>
      <c r="Q39" s="217" t="s">
        <v>261</v>
      </c>
      <c r="R39" s="217" t="s">
        <v>157</v>
      </c>
      <c r="S39" s="311"/>
    </row>
    <row r="40" spans="1:19" ht="16.5" customHeight="1">
      <c r="A40" s="212"/>
      <c r="B40" s="213"/>
      <c r="C40" s="218"/>
      <c r="D40" s="218"/>
      <c r="E40" s="218" t="s">
        <v>262</v>
      </c>
      <c r="F40" s="218" t="s">
        <v>13</v>
      </c>
      <c r="G40" s="218" t="s">
        <v>111</v>
      </c>
      <c r="H40" s="218" t="s">
        <v>74</v>
      </c>
      <c r="I40" s="218" t="s">
        <v>74</v>
      </c>
      <c r="J40" s="218" t="s">
        <v>263</v>
      </c>
      <c r="K40" s="218" t="s">
        <v>264</v>
      </c>
      <c r="L40" s="218" t="s">
        <v>265</v>
      </c>
      <c r="M40" s="218" t="s">
        <v>266</v>
      </c>
      <c r="N40" s="218" t="s">
        <v>225</v>
      </c>
      <c r="O40" s="218" t="s">
        <v>228</v>
      </c>
      <c r="P40" s="218" t="s">
        <v>267</v>
      </c>
      <c r="Q40" s="218" t="s">
        <v>268</v>
      </c>
      <c r="R40" s="218"/>
      <c r="S40" s="311"/>
    </row>
    <row r="41" spans="1:19" ht="16.5" customHeight="1">
      <c r="A41" s="212"/>
      <c r="B41" s="213"/>
      <c r="C41" s="218"/>
      <c r="D41" s="218"/>
      <c r="E41" s="218" t="s">
        <v>269</v>
      </c>
      <c r="F41" s="219"/>
      <c r="G41" s="218"/>
      <c r="H41" s="218" t="s">
        <v>270</v>
      </c>
      <c r="I41" s="218" t="s">
        <v>242</v>
      </c>
      <c r="J41" s="218" t="s">
        <v>142</v>
      </c>
      <c r="K41" s="218" t="s">
        <v>271</v>
      </c>
      <c r="L41" s="218" t="s">
        <v>272</v>
      </c>
      <c r="M41" s="218" t="s">
        <v>273</v>
      </c>
      <c r="N41" s="218"/>
      <c r="O41" s="218" t="s">
        <v>274</v>
      </c>
      <c r="P41" s="218" t="s">
        <v>275</v>
      </c>
      <c r="Q41" s="218" t="s">
        <v>219</v>
      </c>
      <c r="R41" s="218"/>
      <c r="S41" s="311"/>
    </row>
    <row r="42" spans="1:19" ht="16.5" customHeight="1">
      <c r="A42" s="220" t="s">
        <v>276</v>
      </c>
      <c r="B42" s="221"/>
      <c r="C42" s="222" t="s">
        <v>277</v>
      </c>
      <c r="D42" s="222" t="s">
        <v>278</v>
      </c>
      <c r="E42" s="222" t="s">
        <v>279</v>
      </c>
      <c r="F42" s="222" t="s">
        <v>280</v>
      </c>
      <c r="G42" s="222" t="s">
        <v>281</v>
      </c>
      <c r="H42" s="222" t="s">
        <v>282</v>
      </c>
      <c r="I42" s="222" t="s">
        <v>283</v>
      </c>
      <c r="J42" s="222" t="s">
        <v>284</v>
      </c>
      <c r="K42" s="222" t="s">
        <v>285</v>
      </c>
      <c r="L42" s="222" t="s">
        <v>286</v>
      </c>
      <c r="M42" s="222" t="s">
        <v>287</v>
      </c>
      <c r="N42" s="222" t="s">
        <v>288</v>
      </c>
      <c r="O42" s="222" t="s">
        <v>289</v>
      </c>
      <c r="P42" s="222" t="s">
        <v>290</v>
      </c>
      <c r="Q42" s="222" t="s">
        <v>291</v>
      </c>
      <c r="R42" s="222" t="s">
        <v>292</v>
      </c>
      <c r="S42" s="312"/>
    </row>
    <row r="43" spans="1:19" ht="15" customHeight="1">
      <c r="A43" s="227" t="s">
        <v>316</v>
      </c>
      <c r="B43" s="228">
        <v>5220700</v>
      </c>
      <c r="C43" s="230">
        <v>137430</v>
      </c>
      <c r="D43" s="230">
        <v>49765</v>
      </c>
      <c r="E43" s="230"/>
      <c r="F43" s="229">
        <v>31818</v>
      </c>
      <c r="G43" s="229"/>
      <c r="H43" s="229"/>
      <c r="I43" s="229"/>
      <c r="J43" s="230">
        <v>82235</v>
      </c>
      <c r="K43" s="229"/>
      <c r="L43" s="229"/>
      <c r="M43" s="229"/>
      <c r="N43" s="229"/>
      <c r="O43" s="229"/>
      <c r="P43" s="229"/>
      <c r="Q43" s="229"/>
      <c r="R43" s="229"/>
      <c r="S43" s="229">
        <f>SUM(C43:R43)</f>
        <v>301248</v>
      </c>
    </row>
    <row r="44" spans="1:19" ht="15" customHeight="1">
      <c r="A44" s="227" t="s">
        <v>317</v>
      </c>
      <c r="B44" s="228">
        <v>5220800</v>
      </c>
      <c r="C44" s="230">
        <v>18185</v>
      </c>
      <c r="D44" s="230">
        <v>3375</v>
      </c>
      <c r="E44" s="230"/>
      <c r="F44" s="229">
        <v>4267</v>
      </c>
      <c r="G44" s="229"/>
      <c r="H44" s="229"/>
      <c r="I44" s="229"/>
      <c r="J44" s="230">
        <v>8000</v>
      </c>
      <c r="K44" s="229"/>
      <c r="L44" s="229"/>
      <c r="M44" s="229"/>
      <c r="N44" s="229"/>
      <c r="O44" s="229"/>
      <c r="P44" s="229"/>
      <c r="Q44" s="229"/>
      <c r="R44" s="229"/>
      <c r="S44" s="229">
        <f>SUM(C44:R44)</f>
        <v>33827</v>
      </c>
    </row>
    <row r="45" spans="1:19" ht="15" customHeight="1">
      <c r="A45" s="231" t="s">
        <v>302</v>
      </c>
      <c r="B45" s="228"/>
      <c r="C45" s="239">
        <f aca="true" t="shared" si="2" ref="C45:S45">SUM(C32:C44)</f>
        <v>412545</v>
      </c>
      <c r="D45" s="239">
        <f t="shared" si="2"/>
        <v>195550</v>
      </c>
      <c r="E45" s="239">
        <f t="shared" si="2"/>
        <v>0</v>
      </c>
      <c r="F45" s="239">
        <f t="shared" si="2"/>
        <v>187145</v>
      </c>
      <c r="G45" s="239">
        <f t="shared" si="2"/>
        <v>0</v>
      </c>
      <c r="H45" s="239">
        <f t="shared" si="2"/>
        <v>0</v>
      </c>
      <c r="I45" s="239">
        <f t="shared" si="2"/>
        <v>0</v>
      </c>
      <c r="J45" s="239">
        <f t="shared" si="2"/>
        <v>164575</v>
      </c>
      <c r="K45" s="239">
        <f t="shared" si="2"/>
        <v>0</v>
      </c>
      <c r="L45" s="239">
        <f t="shared" si="2"/>
        <v>0</v>
      </c>
      <c r="M45" s="239">
        <f t="shared" si="2"/>
        <v>0</v>
      </c>
      <c r="N45" s="239">
        <f t="shared" si="2"/>
        <v>0</v>
      </c>
      <c r="O45" s="239">
        <f t="shared" si="2"/>
        <v>0</v>
      </c>
      <c r="P45" s="239">
        <f t="shared" si="2"/>
        <v>0</v>
      </c>
      <c r="Q45" s="239">
        <f t="shared" si="2"/>
        <v>0</v>
      </c>
      <c r="R45" s="239">
        <f t="shared" si="2"/>
        <v>0</v>
      </c>
      <c r="S45" s="239">
        <f t="shared" si="2"/>
        <v>959815</v>
      </c>
    </row>
    <row r="46" spans="1:19" ht="15" customHeight="1" thickBot="1">
      <c r="A46" s="232" t="s">
        <v>303</v>
      </c>
      <c r="B46" s="233"/>
      <c r="C46" s="234">
        <f>0+367860+367860+397234.31+412116.5+412545+412545+412545</f>
        <v>2782705.81</v>
      </c>
      <c r="D46" s="234">
        <f>0+180600+180600+180600+180600+193885+195550+195550</f>
        <v>1307385</v>
      </c>
      <c r="E46" s="234">
        <f>0</f>
        <v>0</v>
      </c>
      <c r="F46" s="234">
        <f>0+177630+177630+188294.67+189030+185923.5+187145+187145</f>
        <v>1292798.17</v>
      </c>
      <c r="G46" s="234">
        <f>0</f>
        <v>0</v>
      </c>
      <c r="H46" s="240">
        <v>0</v>
      </c>
      <c r="I46" s="234">
        <f>0</f>
        <v>0</v>
      </c>
      <c r="J46" s="234">
        <f>0+132825+132825+162199.31+166085+164575+164575+164575</f>
        <v>1087659.31</v>
      </c>
      <c r="K46" s="240">
        <v>0</v>
      </c>
      <c r="L46" s="240">
        <v>0</v>
      </c>
      <c r="M46" s="240">
        <v>0</v>
      </c>
      <c r="N46" s="240">
        <v>0</v>
      </c>
      <c r="O46" s="240">
        <v>0</v>
      </c>
      <c r="P46" s="240">
        <v>0</v>
      </c>
      <c r="Q46" s="240">
        <v>0</v>
      </c>
      <c r="R46" s="240">
        <v>0</v>
      </c>
      <c r="S46" s="234">
        <f>0+858915+858915+928328.29+947831.5+956928.5+959815+959815</f>
        <v>6470548.29</v>
      </c>
    </row>
    <row r="47" spans="1:19" ht="15" customHeight="1" thickTop="1">
      <c r="A47" s="223" t="s">
        <v>99</v>
      </c>
      <c r="B47" s="224">
        <v>5310000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</row>
    <row r="48" spans="1:19" ht="15" customHeight="1">
      <c r="A48" s="227" t="s">
        <v>318</v>
      </c>
      <c r="B48" s="228">
        <v>5310100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29"/>
      <c r="S48" s="229">
        <f aca="true" t="shared" si="3" ref="S48:S53">SUM(C48:R48)</f>
        <v>0</v>
      </c>
    </row>
    <row r="49" spans="1:19" ht="15" customHeight="1">
      <c r="A49" s="227" t="s">
        <v>319</v>
      </c>
      <c r="B49" s="228">
        <v>5310200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29"/>
      <c r="S49" s="229">
        <f t="shared" si="3"/>
        <v>0</v>
      </c>
    </row>
    <row r="50" spans="1:19" ht="15" customHeight="1">
      <c r="A50" s="227" t="s">
        <v>320</v>
      </c>
      <c r="B50" s="228">
        <v>5310300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29"/>
      <c r="S50" s="229">
        <f t="shared" si="3"/>
        <v>0</v>
      </c>
    </row>
    <row r="51" spans="1:19" ht="15" customHeight="1">
      <c r="A51" s="227" t="s">
        <v>321</v>
      </c>
      <c r="B51" s="228">
        <v>5310400</v>
      </c>
      <c r="C51" s="230">
        <v>5500</v>
      </c>
      <c r="D51" s="230">
        <v>3000</v>
      </c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29"/>
      <c r="S51" s="229">
        <f t="shared" si="3"/>
        <v>8500</v>
      </c>
    </row>
    <row r="52" spans="1:19" ht="15" customHeight="1">
      <c r="A52" s="227" t="s">
        <v>322</v>
      </c>
      <c r="B52" s="228">
        <v>5310500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29"/>
      <c r="S52" s="229">
        <f t="shared" si="3"/>
        <v>0</v>
      </c>
    </row>
    <row r="53" spans="1:19" ht="15" customHeight="1">
      <c r="A53" s="227" t="s">
        <v>323</v>
      </c>
      <c r="B53" s="228">
        <v>5310600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29"/>
      <c r="S53" s="229">
        <f t="shared" si="3"/>
        <v>0</v>
      </c>
    </row>
    <row r="54" spans="1:19" ht="15" customHeight="1">
      <c r="A54" s="231" t="s">
        <v>302</v>
      </c>
      <c r="B54" s="228"/>
      <c r="C54" s="230">
        <f aca="true" t="shared" si="4" ref="C54:S54">SUM(C48:C53)</f>
        <v>5500</v>
      </c>
      <c r="D54" s="230">
        <f t="shared" si="4"/>
        <v>3000</v>
      </c>
      <c r="E54" s="230">
        <f t="shared" si="4"/>
        <v>0</v>
      </c>
      <c r="F54" s="230">
        <f t="shared" si="4"/>
        <v>0</v>
      </c>
      <c r="G54" s="230">
        <f t="shared" si="4"/>
        <v>0</v>
      </c>
      <c r="H54" s="230">
        <f t="shared" si="4"/>
        <v>0</v>
      </c>
      <c r="I54" s="230">
        <f t="shared" si="4"/>
        <v>0</v>
      </c>
      <c r="J54" s="230">
        <f t="shared" si="4"/>
        <v>0</v>
      </c>
      <c r="K54" s="230">
        <f t="shared" si="4"/>
        <v>0</v>
      </c>
      <c r="L54" s="230">
        <f t="shared" si="4"/>
        <v>0</v>
      </c>
      <c r="M54" s="230">
        <f t="shared" si="4"/>
        <v>0</v>
      </c>
      <c r="N54" s="230">
        <f t="shared" si="4"/>
        <v>0</v>
      </c>
      <c r="O54" s="230">
        <f t="shared" si="4"/>
        <v>0</v>
      </c>
      <c r="P54" s="230">
        <f t="shared" si="4"/>
        <v>0</v>
      </c>
      <c r="Q54" s="230">
        <f t="shared" si="4"/>
        <v>0</v>
      </c>
      <c r="R54" s="230">
        <f t="shared" si="4"/>
        <v>0</v>
      </c>
      <c r="S54" s="229">
        <f t="shared" si="4"/>
        <v>8500</v>
      </c>
    </row>
    <row r="55" spans="1:19" ht="15" customHeight="1" thickBot="1">
      <c r="A55" s="232" t="s">
        <v>303</v>
      </c>
      <c r="B55" s="233"/>
      <c r="C55" s="235">
        <f>0+5500+5500+11000+5500+13900+5500</f>
        <v>46900</v>
      </c>
      <c r="D55" s="235">
        <f>0+3000+9600+6000+6000+3000</f>
        <v>27600</v>
      </c>
      <c r="E55" s="235">
        <f>0+49500</f>
        <v>49500</v>
      </c>
      <c r="F55" s="235">
        <f>0+19000+2380+6000+920</f>
        <v>28300</v>
      </c>
      <c r="G55" s="235">
        <f>0</f>
        <v>0</v>
      </c>
      <c r="H55" s="235">
        <f>0</f>
        <v>0</v>
      </c>
      <c r="I55" s="235">
        <f>0</f>
        <v>0</v>
      </c>
      <c r="J55" s="235">
        <f>0</f>
        <v>0</v>
      </c>
      <c r="K55" s="235">
        <f>0</f>
        <v>0</v>
      </c>
      <c r="L55" s="235">
        <f>0</f>
        <v>0</v>
      </c>
      <c r="M55" s="235">
        <f>0</f>
        <v>0</v>
      </c>
      <c r="N55" s="235">
        <f>0</f>
        <v>0</v>
      </c>
      <c r="O55" s="235">
        <f>0</f>
        <v>0</v>
      </c>
      <c r="P55" s="235">
        <f>0</f>
        <v>0</v>
      </c>
      <c r="Q55" s="235">
        <f>0</f>
        <v>0</v>
      </c>
      <c r="R55" s="235">
        <f>0</f>
        <v>0</v>
      </c>
      <c r="S55" s="234">
        <f>0+8500+34100+2380+17000+61000+20820+8500</f>
        <v>152300</v>
      </c>
    </row>
    <row r="56" spans="1:19" ht="15" customHeight="1" thickTop="1">
      <c r="A56" s="223" t="s">
        <v>100</v>
      </c>
      <c r="B56" s="224">
        <v>5320000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5"/>
      <c r="S56" s="225"/>
    </row>
    <row r="57" spans="1:19" ht="15" customHeight="1">
      <c r="A57" s="227" t="s">
        <v>324</v>
      </c>
      <c r="B57" s="228">
        <v>5320100</v>
      </c>
      <c r="C57" s="230">
        <v>420</v>
      </c>
      <c r="D57" s="230"/>
      <c r="E57" s="230"/>
      <c r="F57" s="230"/>
      <c r="G57" s="230"/>
      <c r="H57" s="230">
        <v>20000</v>
      </c>
      <c r="I57" s="230"/>
      <c r="J57" s="230">
        <v>34900</v>
      </c>
      <c r="K57" s="230"/>
      <c r="L57" s="230"/>
      <c r="M57" s="230"/>
      <c r="N57" s="230"/>
      <c r="O57" s="230"/>
      <c r="P57" s="230"/>
      <c r="Q57" s="230"/>
      <c r="R57" s="229"/>
      <c r="S57" s="229">
        <f>SUM(C57:R57)</f>
        <v>55320</v>
      </c>
    </row>
    <row r="58" spans="1:19" ht="15" customHeight="1">
      <c r="A58" s="227" t="s">
        <v>325</v>
      </c>
      <c r="B58" s="228">
        <v>5320200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29"/>
      <c r="S58" s="229">
        <f>SUM(C58:R58)</f>
        <v>0</v>
      </c>
    </row>
    <row r="59" spans="1:19" ht="15" customHeight="1">
      <c r="A59" s="227" t="s">
        <v>326</v>
      </c>
      <c r="B59" s="228">
        <v>5320300</v>
      </c>
      <c r="C59" s="230">
        <f>12900+183000+135900</f>
        <v>331800</v>
      </c>
      <c r="D59" s="230">
        <v>5400</v>
      </c>
      <c r="E59" s="230">
        <v>80400</v>
      </c>
      <c r="F59" s="230"/>
      <c r="G59" s="230">
        <v>177000</v>
      </c>
      <c r="H59" s="230"/>
      <c r="I59" s="230"/>
      <c r="J59" s="230"/>
      <c r="K59" s="230"/>
      <c r="L59" s="230"/>
      <c r="M59" s="230"/>
      <c r="N59" s="230"/>
      <c r="O59" s="230">
        <f>38520+24292.79</f>
        <v>62812.79</v>
      </c>
      <c r="P59" s="230"/>
      <c r="Q59" s="230"/>
      <c r="R59" s="229"/>
      <c r="S59" s="229">
        <f>SUM(C59:R59)</f>
        <v>657412.79</v>
      </c>
    </row>
    <row r="60" spans="1:19" ht="15" customHeight="1">
      <c r="A60" s="227" t="s">
        <v>327</v>
      </c>
      <c r="B60" s="228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29"/>
      <c r="S60" s="229">
        <f>SUM(C60:R60)</f>
        <v>0</v>
      </c>
    </row>
    <row r="61" spans="1:19" ht="15" customHeight="1">
      <c r="A61" s="227" t="s">
        <v>328</v>
      </c>
      <c r="B61" s="228">
        <v>5320400</v>
      </c>
      <c r="C61" s="230">
        <v>4410</v>
      </c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29"/>
      <c r="S61" s="229">
        <f>SUM(C61:R61)</f>
        <v>4410</v>
      </c>
    </row>
    <row r="62" spans="1:19" ht="15" customHeight="1">
      <c r="A62" s="231" t="s">
        <v>302</v>
      </c>
      <c r="B62" s="228"/>
      <c r="C62" s="230">
        <f aca="true" t="shared" si="5" ref="C62:S62">SUM(C57:C61)</f>
        <v>336630</v>
      </c>
      <c r="D62" s="230">
        <f t="shared" si="5"/>
        <v>5400</v>
      </c>
      <c r="E62" s="230">
        <f t="shared" si="5"/>
        <v>80400</v>
      </c>
      <c r="F62" s="230">
        <f t="shared" si="5"/>
        <v>0</v>
      </c>
      <c r="G62" s="230">
        <f t="shared" si="5"/>
        <v>177000</v>
      </c>
      <c r="H62" s="230">
        <f t="shared" si="5"/>
        <v>20000</v>
      </c>
      <c r="I62" s="230">
        <f t="shared" si="5"/>
        <v>0</v>
      </c>
      <c r="J62" s="230">
        <f t="shared" si="5"/>
        <v>34900</v>
      </c>
      <c r="K62" s="230">
        <f t="shared" si="5"/>
        <v>0</v>
      </c>
      <c r="L62" s="230">
        <f t="shared" si="5"/>
        <v>0</v>
      </c>
      <c r="M62" s="230">
        <f t="shared" si="5"/>
        <v>0</v>
      </c>
      <c r="N62" s="230">
        <f t="shared" si="5"/>
        <v>0</v>
      </c>
      <c r="O62" s="230">
        <f t="shared" si="5"/>
        <v>62812.79</v>
      </c>
      <c r="P62" s="230">
        <f t="shared" si="5"/>
        <v>0</v>
      </c>
      <c r="Q62" s="230">
        <f t="shared" si="5"/>
        <v>0</v>
      </c>
      <c r="R62" s="230">
        <f t="shared" si="5"/>
        <v>0</v>
      </c>
      <c r="S62" s="229">
        <f t="shared" si="5"/>
        <v>717142.79</v>
      </c>
    </row>
    <row r="63" spans="1:19" ht="15" customHeight="1" thickBot="1">
      <c r="A63" s="232" t="s">
        <v>303</v>
      </c>
      <c r="B63" s="233"/>
      <c r="C63" s="235">
        <f>0+16805+29121.45+27623.86+58858.92+44683+36210+336630</f>
        <v>549932.23</v>
      </c>
      <c r="D63" s="235">
        <f>0+3650+4800+24000+55610+16080+5400</f>
        <v>109540</v>
      </c>
      <c r="E63" s="235">
        <f>0+23319+80400</f>
        <v>103719</v>
      </c>
      <c r="F63" s="235">
        <f>0</f>
        <v>0</v>
      </c>
      <c r="G63" s="235">
        <f>0+175680+183000+176430+177000</f>
        <v>712110</v>
      </c>
      <c r="H63" s="235">
        <f>0+20000+20000+20000+20000+20000</f>
        <v>100000</v>
      </c>
      <c r="I63" s="235">
        <f>0</f>
        <v>0</v>
      </c>
      <c r="J63" s="235">
        <f>0+4200+4200+29009.51+34900</f>
        <v>72309.51</v>
      </c>
      <c r="K63" s="235">
        <f>0+13260+22147.5+45534+22965+6712.5</f>
        <v>110619</v>
      </c>
      <c r="L63" s="235">
        <f>0</f>
        <v>0</v>
      </c>
      <c r="M63" s="235">
        <f>0</f>
        <v>0</v>
      </c>
      <c r="N63" s="235">
        <f>0</f>
        <v>0</v>
      </c>
      <c r="O63" s="235">
        <f>0+80000+62812.79</f>
        <v>142812.79</v>
      </c>
      <c r="P63" s="235">
        <f>0</f>
        <v>0</v>
      </c>
      <c r="Q63" s="235">
        <f>0</f>
        <v>0</v>
      </c>
      <c r="R63" s="235">
        <f>0</f>
        <v>0</v>
      </c>
      <c r="S63" s="234">
        <f>0+209395+38121.45+336971.36+348141.92+143258+108012.01+717142.79</f>
        <v>1901042.53</v>
      </c>
    </row>
    <row r="64" spans="1:19" ht="15.75" customHeight="1" thickTop="1">
      <c r="A64" s="223" t="s">
        <v>102</v>
      </c>
      <c r="B64" s="224">
        <v>5330000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</row>
    <row r="65" spans="1:19" ht="15.75" customHeight="1">
      <c r="A65" s="227" t="s">
        <v>329</v>
      </c>
      <c r="B65" s="228">
        <v>5330100</v>
      </c>
      <c r="C65" s="230">
        <v>3800</v>
      </c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29"/>
      <c r="S65" s="229">
        <f aca="true" t="shared" si="6" ref="S65:S72">SUM(C65:R65)</f>
        <v>3800</v>
      </c>
    </row>
    <row r="66" spans="1:19" ht="15.75" customHeight="1">
      <c r="A66" s="227" t="s">
        <v>330</v>
      </c>
      <c r="B66" s="228">
        <v>5330200</v>
      </c>
      <c r="C66" s="230"/>
      <c r="D66" s="230"/>
      <c r="E66" s="230"/>
      <c r="F66" s="230"/>
      <c r="G66" s="230"/>
      <c r="H66" s="230"/>
      <c r="I66" s="230"/>
      <c r="J66" s="230">
        <v>2595</v>
      </c>
      <c r="K66" s="230"/>
      <c r="L66" s="230"/>
      <c r="M66" s="230"/>
      <c r="N66" s="230"/>
      <c r="O66" s="230"/>
      <c r="P66" s="230"/>
      <c r="Q66" s="230"/>
      <c r="R66" s="229"/>
      <c r="S66" s="229">
        <f t="shared" si="6"/>
        <v>2595</v>
      </c>
    </row>
    <row r="67" spans="1:19" ht="15.75" customHeight="1">
      <c r="A67" s="227" t="s">
        <v>331</v>
      </c>
      <c r="B67" s="228">
        <v>5330300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29"/>
      <c r="S67" s="229">
        <f t="shared" si="6"/>
        <v>0</v>
      </c>
    </row>
    <row r="68" spans="1:19" ht="15.75" customHeight="1">
      <c r="A68" s="227" t="s">
        <v>332</v>
      </c>
      <c r="B68" s="228">
        <v>5330400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29"/>
      <c r="S68" s="229">
        <f t="shared" si="6"/>
        <v>0</v>
      </c>
    </row>
    <row r="69" spans="1:19" ht="15.75" customHeight="1">
      <c r="A69" s="227" t="s">
        <v>333</v>
      </c>
      <c r="B69" s="228">
        <v>5330500</v>
      </c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29"/>
      <c r="S69" s="229">
        <f t="shared" si="6"/>
        <v>0</v>
      </c>
    </row>
    <row r="70" spans="1:19" ht="15.75" customHeight="1">
      <c r="A70" s="227" t="s">
        <v>334</v>
      </c>
      <c r="B70" s="228">
        <v>5330600</v>
      </c>
      <c r="C70" s="230"/>
      <c r="D70" s="230"/>
      <c r="E70" s="230"/>
      <c r="F70" s="230"/>
      <c r="G70" s="230"/>
      <c r="H70" s="230"/>
      <c r="I70" s="230"/>
      <c r="J70" s="230">
        <v>5534.04</v>
      </c>
      <c r="K70" s="230"/>
      <c r="L70" s="230"/>
      <c r="M70" s="230"/>
      <c r="N70" s="230"/>
      <c r="O70" s="230"/>
      <c r="P70" s="230"/>
      <c r="Q70" s="230"/>
      <c r="R70" s="229"/>
      <c r="S70" s="229">
        <f t="shared" si="6"/>
        <v>5534.04</v>
      </c>
    </row>
    <row r="71" spans="1:19" ht="15.75" customHeight="1">
      <c r="A71" s="227" t="s">
        <v>335</v>
      </c>
      <c r="B71" s="228">
        <v>5330700</v>
      </c>
      <c r="C71" s="230">
        <v>20330</v>
      </c>
      <c r="D71" s="230">
        <v>1065</v>
      </c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29"/>
      <c r="S71" s="229">
        <f t="shared" si="6"/>
        <v>21395</v>
      </c>
    </row>
    <row r="72" spans="1:19" ht="15.75" customHeight="1">
      <c r="A72" s="227" t="s">
        <v>336</v>
      </c>
      <c r="B72" s="228">
        <v>5330800</v>
      </c>
      <c r="C72" s="230">
        <v>36700</v>
      </c>
      <c r="D72" s="230">
        <v>200</v>
      </c>
      <c r="E72" s="230"/>
      <c r="F72" s="230"/>
      <c r="G72" s="230"/>
      <c r="H72" s="230"/>
      <c r="I72" s="230"/>
      <c r="J72" s="230">
        <v>14000</v>
      </c>
      <c r="K72" s="230"/>
      <c r="L72" s="230"/>
      <c r="M72" s="230"/>
      <c r="N72" s="230"/>
      <c r="O72" s="230"/>
      <c r="P72" s="230"/>
      <c r="Q72" s="230"/>
      <c r="R72" s="229"/>
      <c r="S72" s="229">
        <f t="shared" si="6"/>
        <v>50900</v>
      </c>
    </row>
    <row r="73" spans="1:19" ht="18.75" customHeight="1">
      <c r="A73" s="207"/>
      <c r="B73" s="207" t="s">
        <v>240</v>
      </c>
      <c r="C73" s="322" t="s">
        <v>22</v>
      </c>
      <c r="D73" s="323"/>
      <c r="E73" s="209" t="s">
        <v>241</v>
      </c>
      <c r="F73" s="322" t="s">
        <v>26</v>
      </c>
      <c r="G73" s="323"/>
      <c r="H73" s="210" t="s">
        <v>73</v>
      </c>
      <c r="I73" s="208" t="s">
        <v>242</v>
      </c>
      <c r="J73" s="322" t="s">
        <v>23</v>
      </c>
      <c r="K73" s="323"/>
      <c r="L73" s="322" t="s">
        <v>208</v>
      </c>
      <c r="M73" s="323"/>
      <c r="N73" s="322" t="s">
        <v>243</v>
      </c>
      <c r="O73" s="324"/>
      <c r="P73" s="323"/>
      <c r="Q73" s="211" t="s">
        <v>218</v>
      </c>
      <c r="R73" s="210" t="s">
        <v>157</v>
      </c>
      <c r="S73" s="310" t="s">
        <v>53</v>
      </c>
    </row>
    <row r="74" spans="1:19" ht="18.75" customHeight="1">
      <c r="A74" s="212"/>
      <c r="B74" s="213"/>
      <c r="C74" s="319" t="s">
        <v>244</v>
      </c>
      <c r="D74" s="320"/>
      <c r="E74" s="214" t="s">
        <v>245</v>
      </c>
      <c r="F74" s="319" t="s">
        <v>246</v>
      </c>
      <c r="G74" s="320"/>
      <c r="H74" s="216" t="s">
        <v>247</v>
      </c>
      <c r="I74" s="215" t="s">
        <v>248</v>
      </c>
      <c r="J74" s="319" t="s">
        <v>249</v>
      </c>
      <c r="K74" s="320"/>
      <c r="L74" s="319" t="s">
        <v>250</v>
      </c>
      <c r="M74" s="320"/>
      <c r="N74" s="319" t="s">
        <v>251</v>
      </c>
      <c r="O74" s="321"/>
      <c r="P74" s="320"/>
      <c r="Q74" s="215" t="s">
        <v>252</v>
      </c>
      <c r="R74" s="216" t="s">
        <v>253</v>
      </c>
      <c r="S74" s="311"/>
    </row>
    <row r="75" spans="1:19" ht="18.75" customHeight="1">
      <c r="A75" s="212"/>
      <c r="B75" s="213"/>
      <c r="C75" s="217" t="s">
        <v>21</v>
      </c>
      <c r="D75" s="217" t="s">
        <v>24</v>
      </c>
      <c r="E75" s="217" t="s">
        <v>21</v>
      </c>
      <c r="F75" s="217" t="s">
        <v>21</v>
      </c>
      <c r="G75" s="217" t="s">
        <v>27</v>
      </c>
      <c r="H75" s="217" t="s">
        <v>254</v>
      </c>
      <c r="I75" s="217" t="s">
        <v>255</v>
      </c>
      <c r="J75" s="217" t="s">
        <v>21</v>
      </c>
      <c r="K75" s="217" t="s">
        <v>256</v>
      </c>
      <c r="L75" s="217" t="s">
        <v>21</v>
      </c>
      <c r="M75" s="217" t="s">
        <v>257</v>
      </c>
      <c r="N75" s="217" t="s">
        <v>258</v>
      </c>
      <c r="O75" s="217" t="s">
        <v>259</v>
      </c>
      <c r="P75" s="217" t="s">
        <v>260</v>
      </c>
      <c r="Q75" s="217" t="s">
        <v>261</v>
      </c>
      <c r="R75" s="217" t="s">
        <v>157</v>
      </c>
      <c r="S75" s="311"/>
    </row>
    <row r="76" spans="1:19" ht="18.75" customHeight="1">
      <c r="A76" s="212"/>
      <c r="B76" s="213"/>
      <c r="C76" s="218"/>
      <c r="D76" s="218"/>
      <c r="E76" s="218" t="s">
        <v>262</v>
      </c>
      <c r="F76" s="218" t="s">
        <v>13</v>
      </c>
      <c r="G76" s="218" t="s">
        <v>111</v>
      </c>
      <c r="H76" s="218" t="s">
        <v>74</v>
      </c>
      <c r="I76" s="218" t="s">
        <v>74</v>
      </c>
      <c r="J76" s="218" t="s">
        <v>263</v>
      </c>
      <c r="K76" s="218" t="s">
        <v>264</v>
      </c>
      <c r="L76" s="218" t="s">
        <v>265</v>
      </c>
      <c r="M76" s="218" t="s">
        <v>266</v>
      </c>
      <c r="N76" s="218" t="s">
        <v>225</v>
      </c>
      <c r="O76" s="218" t="s">
        <v>228</v>
      </c>
      <c r="P76" s="218" t="s">
        <v>267</v>
      </c>
      <c r="Q76" s="218" t="s">
        <v>268</v>
      </c>
      <c r="R76" s="218"/>
      <c r="S76" s="311"/>
    </row>
    <row r="77" spans="1:19" ht="18.75" customHeight="1">
      <c r="A77" s="212"/>
      <c r="B77" s="213"/>
      <c r="C77" s="218"/>
      <c r="D77" s="218"/>
      <c r="E77" s="218" t="s">
        <v>269</v>
      </c>
      <c r="F77" s="219"/>
      <c r="G77" s="218"/>
      <c r="H77" s="218" t="s">
        <v>270</v>
      </c>
      <c r="I77" s="218" t="s">
        <v>242</v>
      </c>
      <c r="J77" s="218" t="s">
        <v>142</v>
      </c>
      <c r="K77" s="218" t="s">
        <v>271</v>
      </c>
      <c r="L77" s="218" t="s">
        <v>272</v>
      </c>
      <c r="M77" s="218" t="s">
        <v>273</v>
      </c>
      <c r="N77" s="218"/>
      <c r="O77" s="218" t="s">
        <v>274</v>
      </c>
      <c r="P77" s="218" t="s">
        <v>275</v>
      </c>
      <c r="Q77" s="218" t="s">
        <v>219</v>
      </c>
      <c r="R77" s="218"/>
      <c r="S77" s="311"/>
    </row>
    <row r="78" spans="1:19" ht="18.75" customHeight="1">
      <c r="A78" s="220" t="s">
        <v>276</v>
      </c>
      <c r="B78" s="221"/>
      <c r="C78" s="222" t="s">
        <v>277</v>
      </c>
      <c r="D78" s="222" t="s">
        <v>278</v>
      </c>
      <c r="E78" s="222" t="s">
        <v>279</v>
      </c>
      <c r="F78" s="222" t="s">
        <v>280</v>
      </c>
      <c r="G78" s="222" t="s">
        <v>281</v>
      </c>
      <c r="H78" s="222" t="s">
        <v>282</v>
      </c>
      <c r="I78" s="222" t="s">
        <v>283</v>
      </c>
      <c r="J78" s="222" t="s">
        <v>284</v>
      </c>
      <c r="K78" s="222" t="s">
        <v>285</v>
      </c>
      <c r="L78" s="222" t="s">
        <v>286</v>
      </c>
      <c r="M78" s="222" t="s">
        <v>287</v>
      </c>
      <c r="N78" s="222" t="s">
        <v>288</v>
      </c>
      <c r="O78" s="222" t="s">
        <v>289</v>
      </c>
      <c r="P78" s="222" t="s">
        <v>290</v>
      </c>
      <c r="Q78" s="222" t="s">
        <v>291</v>
      </c>
      <c r="R78" s="222" t="s">
        <v>292</v>
      </c>
      <c r="S78" s="312"/>
    </row>
    <row r="79" spans="1:19" ht="15" customHeight="1">
      <c r="A79" s="227" t="s">
        <v>337</v>
      </c>
      <c r="B79" s="228">
        <v>5330900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29"/>
      <c r="S79" s="229">
        <f aca="true" t="shared" si="7" ref="S79:S84">SUM(C79:R79)</f>
        <v>0</v>
      </c>
    </row>
    <row r="80" spans="1:19" ht="15" customHeight="1">
      <c r="A80" s="227" t="s">
        <v>338</v>
      </c>
      <c r="B80" s="228">
        <v>5331000</v>
      </c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29"/>
      <c r="S80" s="229">
        <f t="shared" si="7"/>
        <v>0</v>
      </c>
    </row>
    <row r="81" spans="1:19" ht="15" customHeight="1">
      <c r="A81" s="227" t="s">
        <v>339</v>
      </c>
      <c r="B81" s="228">
        <v>5331100</v>
      </c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29"/>
      <c r="S81" s="229">
        <f t="shared" si="7"/>
        <v>0</v>
      </c>
    </row>
    <row r="82" spans="1:19" ht="15" customHeight="1">
      <c r="A82" s="227" t="s">
        <v>340</v>
      </c>
      <c r="B82" s="228">
        <v>5331200</v>
      </c>
      <c r="C82" s="230"/>
      <c r="D82" s="230"/>
      <c r="E82" s="230"/>
      <c r="F82" s="230"/>
      <c r="G82" s="230"/>
      <c r="H82" s="230"/>
      <c r="I82" s="230"/>
      <c r="J82" s="230"/>
      <c r="K82" s="230">
        <v>2100</v>
      </c>
      <c r="L82" s="230"/>
      <c r="M82" s="230"/>
      <c r="N82" s="230"/>
      <c r="O82" s="230"/>
      <c r="P82" s="230"/>
      <c r="Q82" s="230"/>
      <c r="R82" s="229"/>
      <c r="S82" s="229">
        <f t="shared" si="7"/>
        <v>2100</v>
      </c>
    </row>
    <row r="83" spans="1:19" ht="15" customHeight="1">
      <c r="A83" s="227" t="s">
        <v>341</v>
      </c>
      <c r="B83" s="228">
        <v>5331400</v>
      </c>
      <c r="C83" s="230">
        <v>6000</v>
      </c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29"/>
      <c r="S83" s="229">
        <f t="shared" si="7"/>
        <v>6000</v>
      </c>
    </row>
    <row r="84" spans="1:19" ht="15" customHeight="1">
      <c r="A84" s="227" t="s">
        <v>342</v>
      </c>
      <c r="B84" s="228">
        <v>5332000</v>
      </c>
      <c r="C84" s="230"/>
      <c r="D84" s="230"/>
      <c r="E84" s="230"/>
      <c r="F84" s="230"/>
      <c r="G84" s="230"/>
      <c r="H84" s="230"/>
      <c r="I84" s="230"/>
      <c r="J84" s="230"/>
      <c r="K84" s="230"/>
      <c r="L84" s="241"/>
      <c r="M84" s="242"/>
      <c r="N84" s="230"/>
      <c r="O84" s="230"/>
      <c r="P84" s="230"/>
      <c r="Q84" s="230"/>
      <c r="R84" s="229"/>
      <c r="S84" s="229">
        <f t="shared" si="7"/>
        <v>0</v>
      </c>
    </row>
    <row r="85" spans="1:19" ht="15" customHeight="1">
      <c r="A85" s="231" t="s">
        <v>302</v>
      </c>
      <c r="B85" s="228"/>
      <c r="C85" s="230">
        <f aca="true" t="shared" si="8" ref="C85:S85">SUM(C65:C84)</f>
        <v>66830</v>
      </c>
      <c r="D85" s="230">
        <f t="shared" si="8"/>
        <v>1265</v>
      </c>
      <c r="E85" s="230">
        <f t="shared" si="8"/>
        <v>0</v>
      </c>
      <c r="F85" s="230">
        <f t="shared" si="8"/>
        <v>0</v>
      </c>
      <c r="G85" s="230">
        <f t="shared" si="8"/>
        <v>0</v>
      </c>
      <c r="H85" s="230">
        <f t="shared" si="8"/>
        <v>0</v>
      </c>
      <c r="I85" s="230">
        <f t="shared" si="8"/>
        <v>0</v>
      </c>
      <c r="J85" s="230">
        <f t="shared" si="8"/>
        <v>22129.04</v>
      </c>
      <c r="K85" s="230">
        <f t="shared" si="8"/>
        <v>2100</v>
      </c>
      <c r="L85" s="230">
        <f t="shared" si="8"/>
        <v>0</v>
      </c>
      <c r="M85" s="230">
        <f t="shared" si="8"/>
        <v>0</v>
      </c>
      <c r="N85" s="230">
        <f t="shared" si="8"/>
        <v>0</v>
      </c>
      <c r="O85" s="230">
        <f t="shared" si="8"/>
        <v>0</v>
      </c>
      <c r="P85" s="230">
        <f t="shared" si="8"/>
        <v>0</v>
      </c>
      <c r="Q85" s="230">
        <f t="shared" si="8"/>
        <v>0</v>
      </c>
      <c r="R85" s="230">
        <f t="shared" si="8"/>
        <v>0</v>
      </c>
      <c r="S85" s="229">
        <f t="shared" si="8"/>
        <v>92324.04000000001</v>
      </c>
    </row>
    <row r="86" spans="1:19" ht="15" customHeight="1" thickBot="1">
      <c r="A86" s="232" t="s">
        <v>303</v>
      </c>
      <c r="B86" s="233"/>
      <c r="C86" s="235">
        <f>0+42061.5+77490.95+89211+52598+57060+66830</f>
        <v>385251.45</v>
      </c>
      <c r="D86" s="234">
        <f>0+10200+300+400+10352+100+1265</f>
        <v>22617</v>
      </c>
      <c r="E86" s="234">
        <f>0</f>
        <v>0</v>
      </c>
      <c r="F86" s="234">
        <f>0</f>
        <v>0</v>
      </c>
      <c r="G86" s="234">
        <f>0+152985</f>
        <v>152985</v>
      </c>
      <c r="H86" s="234">
        <f>0+1800+1230</f>
        <v>3030</v>
      </c>
      <c r="I86" s="234">
        <f>0</f>
        <v>0</v>
      </c>
      <c r="J86" s="234">
        <f>0+23555.73+6609.9+40286.05+71848+51496.58+22129.04</f>
        <v>215925.30000000002</v>
      </c>
      <c r="K86" s="234">
        <f>0+2000+2100</f>
        <v>4100</v>
      </c>
      <c r="L86" s="234">
        <f>0</f>
        <v>0</v>
      </c>
      <c r="M86" s="234">
        <f>0</f>
        <v>0</v>
      </c>
      <c r="N86" s="234">
        <f>0</f>
        <v>0</v>
      </c>
      <c r="O86" s="234">
        <f>0</f>
        <v>0</v>
      </c>
      <c r="P86" s="234">
        <f>0</f>
        <v>0</v>
      </c>
      <c r="Q86" s="234">
        <f>0</f>
        <v>0</v>
      </c>
      <c r="R86" s="234">
        <f>0</f>
        <v>0</v>
      </c>
      <c r="S86" s="234">
        <f>0+77817.23+86200.85+284112.05+134798+108656.58+92324.04</f>
        <v>783908.75</v>
      </c>
    </row>
    <row r="87" spans="1:19" ht="15" customHeight="1" thickTop="1">
      <c r="A87" s="223" t="s">
        <v>103</v>
      </c>
      <c r="B87" s="224">
        <v>5340000</v>
      </c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</row>
    <row r="88" spans="1:19" ht="15" customHeight="1">
      <c r="A88" s="227" t="s">
        <v>343</v>
      </c>
      <c r="B88" s="228">
        <v>5340100</v>
      </c>
      <c r="C88" s="230">
        <v>48509.46</v>
      </c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29"/>
      <c r="S88" s="229">
        <f>SUM(C88:R88)</f>
        <v>48509.46</v>
      </c>
    </row>
    <row r="89" spans="1:19" ht="15" customHeight="1">
      <c r="A89" s="227" t="s">
        <v>344</v>
      </c>
      <c r="B89" s="228">
        <v>5340200</v>
      </c>
      <c r="C89" s="230">
        <v>192.6</v>
      </c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29"/>
      <c r="S89" s="229">
        <f>SUM(C89:R89)</f>
        <v>192.6</v>
      </c>
    </row>
    <row r="90" spans="1:19" ht="15" customHeight="1">
      <c r="A90" s="227" t="s">
        <v>345</v>
      </c>
      <c r="B90" s="228">
        <v>5340300</v>
      </c>
      <c r="C90" s="230">
        <v>376.11</v>
      </c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29"/>
      <c r="S90" s="229">
        <f>SUM(C90:R90)</f>
        <v>376.11</v>
      </c>
    </row>
    <row r="91" spans="1:19" ht="15" customHeight="1">
      <c r="A91" s="227" t="s">
        <v>346</v>
      </c>
      <c r="B91" s="228">
        <v>5340400</v>
      </c>
      <c r="C91" s="230">
        <v>620</v>
      </c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29"/>
      <c r="S91" s="229">
        <f>SUM(C91:R91)</f>
        <v>620</v>
      </c>
    </row>
    <row r="92" spans="1:19" ht="15" customHeight="1">
      <c r="A92" s="227" t="s">
        <v>347</v>
      </c>
      <c r="B92" s="228">
        <v>5340500</v>
      </c>
      <c r="C92" s="230">
        <v>7350.9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29"/>
      <c r="S92" s="229">
        <f>SUM(C92:R92)</f>
        <v>7350.9</v>
      </c>
    </row>
    <row r="93" spans="1:19" ht="15" customHeight="1">
      <c r="A93" s="231" t="s">
        <v>302</v>
      </c>
      <c r="B93" s="228"/>
      <c r="C93" s="229">
        <f aca="true" t="shared" si="9" ref="C93:S93">SUM(C88:C92)</f>
        <v>57049.07</v>
      </c>
      <c r="D93" s="229">
        <f t="shared" si="9"/>
        <v>0</v>
      </c>
      <c r="E93" s="229">
        <f t="shared" si="9"/>
        <v>0</v>
      </c>
      <c r="F93" s="229">
        <f t="shared" si="9"/>
        <v>0</v>
      </c>
      <c r="G93" s="229">
        <f t="shared" si="9"/>
        <v>0</v>
      </c>
      <c r="H93" s="229">
        <f t="shared" si="9"/>
        <v>0</v>
      </c>
      <c r="I93" s="229">
        <f t="shared" si="9"/>
        <v>0</v>
      </c>
      <c r="J93" s="229">
        <f t="shared" si="9"/>
        <v>0</v>
      </c>
      <c r="K93" s="229">
        <f t="shared" si="9"/>
        <v>0</v>
      </c>
      <c r="L93" s="229">
        <f t="shared" si="9"/>
        <v>0</v>
      </c>
      <c r="M93" s="229">
        <f t="shared" si="9"/>
        <v>0</v>
      </c>
      <c r="N93" s="229">
        <f t="shared" si="9"/>
        <v>0</v>
      </c>
      <c r="O93" s="229">
        <f t="shared" si="9"/>
        <v>0</v>
      </c>
      <c r="P93" s="229">
        <f t="shared" si="9"/>
        <v>0</v>
      </c>
      <c r="Q93" s="229">
        <f t="shared" si="9"/>
        <v>0</v>
      </c>
      <c r="R93" s="229">
        <f t="shared" si="9"/>
        <v>0</v>
      </c>
      <c r="S93" s="229">
        <f t="shared" si="9"/>
        <v>57049.07</v>
      </c>
    </row>
    <row r="94" spans="1:19" ht="15" customHeight="1" thickBot="1">
      <c r="A94" s="232" t="s">
        <v>303</v>
      </c>
      <c r="B94" s="233"/>
      <c r="C94" s="234">
        <f>0+52674.06+50889.7+822.6+98811.58+49630.19+46244.11+57049.07</f>
        <v>356121.31</v>
      </c>
      <c r="D94" s="234">
        <f>0</f>
        <v>0</v>
      </c>
      <c r="E94" s="234">
        <f>0</f>
        <v>0</v>
      </c>
      <c r="F94" s="234">
        <f>0</f>
        <v>0</v>
      </c>
      <c r="G94" s="234">
        <f>0</f>
        <v>0</v>
      </c>
      <c r="H94" s="234">
        <f>0</f>
        <v>0</v>
      </c>
      <c r="I94" s="234">
        <f>0</f>
        <v>0</v>
      </c>
      <c r="J94" s="234">
        <f>0</f>
        <v>0</v>
      </c>
      <c r="K94" s="234">
        <f>0</f>
        <v>0</v>
      </c>
      <c r="L94" s="234">
        <f>0</f>
        <v>0</v>
      </c>
      <c r="M94" s="234">
        <f>0</f>
        <v>0</v>
      </c>
      <c r="N94" s="234">
        <f>0</f>
        <v>0</v>
      </c>
      <c r="O94" s="234">
        <f>0</f>
        <v>0</v>
      </c>
      <c r="P94" s="234">
        <f>0</f>
        <v>0</v>
      </c>
      <c r="Q94" s="234">
        <f>0</f>
        <v>0</v>
      </c>
      <c r="R94" s="234">
        <f>0</f>
        <v>0</v>
      </c>
      <c r="S94" s="234">
        <f>0+52674.06+50889.7+822.6+98811.58+49630.19+46244.11+57049.07</f>
        <v>356121.31</v>
      </c>
    </row>
    <row r="95" spans="1:19" ht="15" customHeight="1" thickTop="1">
      <c r="A95" s="223" t="s">
        <v>169</v>
      </c>
      <c r="B95" s="224">
        <v>5410000</v>
      </c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</row>
    <row r="96" spans="1:19" ht="15" customHeight="1">
      <c r="A96" s="227" t="s">
        <v>348</v>
      </c>
      <c r="B96" s="228">
        <v>5410100</v>
      </c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29"/>
      <c r="S96" s="229">
        <f aca="true" t="shared" si="10" ref="S96:S108">SUM(C96:R96)</f>
        <v>0</v>
      </c>
    </row>
    <row r="97" spans="1:19" ht="15" customHeight="1">
      <c r="A97" s="227" t="s">
        <v>349</v>
      </c>
      <c r="B97" s="228">
        <v>5410300</v>
      </c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29"/>
      <c r="S97" s="229">
        <f t="shared" si="10"/>
        <v>0</v>
      </c>
    </row>
    <row r="98" spans="1:19" ht="15" customHeight="1">
      <c r="A98" s="227" t="s">
        <v>350</v>
      </c>
      <c r="B98" s="228">
        <v>5410400</v>
      </c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29"/>
      <c r="S98" s="229">
        <f t="shared" si="10"/>
        <v>0</v>
      </c>
    </row>
    <row r="99" spans="1:19" ht="15" customHeight="1">
      <c r="A99" s="227" t="s">
        <v>351</v>
      </c>
      <c r="B99" s="228">
        <v>5410500</v>
      </c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29"/>
      <c r="S99" s="229">
        <f t="shared" si="10"/>
        <v>0</v>
      </c>
    </row>
    <row r="100" spans="1:19" ht="15" customHeight="1">
      <c r="A100" s="227" t="s">
        <v>352</v>
      </c>
      <c r="B100" s="228">
        <v>5410600</v>
      </c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29"/>
      <c r="S100" s="229">
        <f t="shared" si="10"/>
        <v>0</v>
      </c>
    </row>
    <row r="101" spans="1:19" ht="15" customHeight="1">
      <c r="A101" s="227" t="s">
        <v>353</v>
      </c>
      <c r="B101" s="228">
        <v>5410700</v>
      </c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29"/>
      <c r="S101" s="229">
        <f t="shared" si="10"/>
        <v>0</v>
      </c>
    </row>
    <row r="102" spans="1:19" ht="15" customHeight="1">
      <c r="A102" s="227" t="s">
        <v>354</v>
      </c>
      <c r="B102" s="228">
        <v>5410900</v>
      </c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29"/>
      <c r="S102" s="229">
        <f t="shared" si="10"/>
        <v>0</v>
      </c>
    </row>
    <row r="103" spans="1:19" ht="15" customHeight="1">
      <c r="A103" s="227" t="s">
        <v>355</v>
      </c>
      <c r="B103" s="228">
        <v>5411000</v>
      </c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29"/>
      <c r="S103" s="229">
        <f t="shared" si="10"/>
        <v>0</v>
      </c>
    </row>
    <row r="104" spans="1:19" ht="15" customHeight="1">
      <c r="A104" s="227" t="s">
        <v>356</v>
      </c>
      <c r="B104" s="228">
        <v>5411100</v>
      </c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29"/>
      <c r="S104" s="229">
        <f t="shared" si="10"/>
        <v>0</v>
      </c>
    </row>
    <row r="105" spans="1:19" ht="15" customHeight="1">
      <c r="A105" s="227" t="s">
        <v>357</v>
      </c>
      <c r="B105" s="228">
        <v>5411300</v>
      </c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29"/>
      <c r="S105" s="229">
        <f t="shared" si="10"/>
        <v>0</v>
      </c>
    </row>
    <row r="106" spans="1:19" ht="15" customHeight="1">
      <c r="A106" s="227" t="s">
        <v>358</v>
      </c>
      <c r="B106" s="228">
        <v>5411600</v>
      </c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29"/>
      <c r="S106" s="229">
        <f t="shared" si="10"/>
        <v>0</v>
      </c>
    </row>
    <row r="107" spans="1:19" ht="15" customHeight="1">
      <c r="A107" s="227" t="s">
        <v>373</v>
      </c>
      <c r="B107" s="228">
        <v>5411700</v>
      </c>
      <c r="C107" s="230">
        <v>197200</v>
      </c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29"/>
      <c r="S107" s="229">
        <f t="shared" si="10"/>
        <v>197200</v>
      </c>
    </row>
    <row r="108" spans="1:19" ht="15" customHeight="1">
      <c r="A108" s="227" t="s">
        <v>359</v>
      </c>
      <c r="B108" s="228">
        <v>5411800</v>
      </c>
      <c r="C108" s="230">
        <v>229247.5</v>
      </c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29"/>
      <c r="S108" s="229">
        <f t="shared" si="10"/>
        <v>229247.5</v>
      </c>
    </row>
    <row r="109" spans="1:19" ht="16.5" customHeight="1">
      <c r="A109" s="290"/>
      <c r="B109" s="243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5"/>
      <c r="S109" s="245"/>
    </row>
    <row r="110" spans="1:19" ht="23.25">
      <c r="A110" s="207"/>
      <c r="B110" s="207" t="s">
        <v>240</v>
      </c>
      <c r="C110" s="322" t="s">
        <v>22</v>
      </c>
      <c r="D110" s="323"/>
      <c r="E110" s="209" t="s">
        <v>241</v>
      </c>
      <c r="F110" s="322" t="s">
        <v>26</v>
      </c>
      <c r="G110" s="323"/>
      <c r="H110" s="210" t="s">
        <v>73</v>
      </c>
      <c r="I110" s="208" t="s">
        <v>242</v>
      </c>
      <c r="J110" s="322" t="s">
        <v>23</v>
      </c>
      <c r="K110" s="323"/>
      <c r="L110" s="322" t="s">
        <v>208</v>
      </c>
      <c r="M110" s="323"/>
      <c r="N110" s="322" t="s">
        <v>243</v>
      </c>
      <c r="O110" s="324"/>
      <c r="P110" s="323"/>
      <c r="Q110" s="211" t="s">
        <v>218</v>
      </c>
      <c r="R110" s="210" t="s">
        <v>157</v>
      </c>
      <c r="S110" s="310" t="s">
        <v>53</v>
      </c>
    </row>
    <row r="111" spans="1:19" ht="23.25">
      <c r="A111" s="212"/>
      <c r="B111" s="213"/>
      <c r="C111" s="319" t="s">
        <v>244</v>
      </c>
      <c r="D111" s="320"/>
      <c r="E111" s="214" t="s">
        <v>245</v>
      </c>
      <c r="F111" s="319" t="s">
        <v>246</v>
      </c>
      <c r="G111" s="320"/>
      <c r="H111" s="216" t="s">
        <v>247</v>
      </c>
      <c r="I111" s="215" t="s">
        <v>248</v>
      </c>
      <c r="J111" s="319" t="s">
        <v>249</v>
      </c>
      <c r="K111" s="320"/>
      <c r="L111" s="319" t="s">
        <v>250</v>
      </c>
      <c r="M111" s="320"/>
      <c r="N111" s="319" t="s">
        <v>251</v>
      </c>
      <c r="O111" s="321"/>
      <c r="P111" s="320"/>
      <c r="Q111" s="215" t="s">
        <v>252</v>
      </c>
      <c r="R111" s="216" t="s">
        <v>253</v>
      </c>
      <c r="S111" s="311"/>
    </row>
    <row r="112" spans="1:19" ht="23.25">
      <c r="A112" s="212"/>
      <c r="B112" s="213"/>
      <c r="C112" s="217" t="s">
        <v>21</v>
      </c>
      <c r="D112" s="217" t="s">
        <v>24</v>
      </c>
      <c r="E112" s="217" t="s">
        <v>21</v>
      </c>
      <c r="F112" s="217" t="s">
        <v>21</v>
      </c>
      <c r="G112" s="217" t="s">
        <v>27</v>
      </c>
      <c r="H112" s="217" t="s">
        <v>254</v>
      </c>
      <c r="I112" s="217" t="s">
        <v>255</v>
      </c>
      <c r="J112" s="217" t="s">
        <v>21</v>
      </c>
      <c r="K112" s="217" t="s">
        <v>256</v>
      </c>
      <c r="L112" s="217" t="s">
        <v>21</v>
      </c>
      <c r="M112" s="217" t="s">
        <v>257</v>
      </c>
      <c r="N112" s="217" t="s">
        <v>258</v>
      </c>
      <c r="O112" s="217" t="s">
        <v>259</v>
      </c>
      <c r="P112" s="217" t="s">
        <v>260</v>
      </c>
      <c r="Q112" s="217" t="s">
        <v>261</v>
      </c>
      <c r="R112" s="217" t="s">
        <v>157</v>
      </c>
      <c r="S112" s="311"/>
    </row>
    <row r="113" spans="1:19" ht="23.25">
      <c r="A113" s="212"/>
      <c r="B113" s="213"/>
      <c r="C113" s="218"/>
      <c r="D113" s="218"/>
      <c r="E113" s="218" t="s">
        <v>262</v>
      </c>
      <c r="F113" s="218" t="s">
        <v>13</v>
      </c>
      <c r="G113" s="218" t="s">
        <v>111</v>
      </c>
      <c r="H113" s="218" t="s">
        <v>74</v>
      </c>
      <c r="I113" s="218" t="s">
        <v>74</v>
      </c>
      <c r="J113" s="218" t="s">
        <v>263</v>
      </c>
      <c r="K113" s="218" t="s">
        <v>264</v>
      </c>
      <c r="L113" s="218" t="s">
        <v>265</v>
      </c>
      <c r="M113" s="218" t="s">
        <v>266</v>
      </c>
      <c r="N113" s="218" t="s">
        <v>225</v>
      </c>
      <c r="O113" s="218" t="s">
        <v>228</v>
      </c>
      <c r="P113" s="218" t="s">
        <v>267</v>
      </c>
      <c r="Q113" s="218" t="s">
        <v>268</v>
      </c>
      <c r="R113" s="218"/>
      <c r="S113" s="311"/>
    </row>
    <row r="114" spans="1:19" ht="23.25">
      <c r="A114" s="212"/>
      <c r="B114" s="213"/>
      <c r="C114" s="218"/>
      <c r="D114" s="218"/>
      <c r="E114" s="218" t="s">
        <v>269</v>
      </c>
      <c r="F114" s="219"/>
      <c r="G114" s="218"/>
      <c r="H114" s="218" t="s">
        <v>270</v>
      </c>
      <c r="I114" s="218" t="s">
        <v>242</v>
      </c>
      <c r="J114" s="218" t="s">
        <v>142</v>
      </c>
      <c r="K114" s="218" t="s">
        <v>271</v>
      </c>
      <c r="L114" s="218" t="s">
        <v>272</v>
      </c>
      <c r="M114" s="218" t="s">
        <v>273</v>
      </c>
      <c r="N114" s="218"/>
      <c r="O114" s="218" t="s">
        <v>274</v>
      </c>
      <c r="P114" s="218" t="s">
        <v>275</v>
      </c>
      <c r="Q114" s="218" t="s">
        <v>219</v>
      </c>
      <c r="R114" s="218"/>
      <c r="S114" s="311"/>
    </row>
    <row r="115" spans="1:19" ht="23.25">
      <c r="A115" s="220" t="s">
        <v>276</v>
      </c>
      <c r="B115" s="221"/>
      <c r="C115" s="222" t="s">
        <v>277</v>
      </c>
      <c r="D115" s="222" t="s">
        <v>278</v>
      </c>
      <c r="E115" s="222" t="s">
        <v>279</v>
      </c>
      <c r="F115" s="222" t="s">
        <v>280</v>
      </c>
      <c r="G115" s="222" t="s">
        <v>281</v>
      </c>
      <c r="H115" s="222" t="s">
        <v>282</v>
      </c>
      <c r="I115" s="222" t="s">
        <v>283</v>
      </c>
      <c r="J115" s="222" t="s">
        <v>284</v>
      </c>
      <c r="K115" s="222" t="s">
        <v>285</v>
      </c>
      <c r="L115" s="222" t="s">
        <v>286</v>
      </c>
      <c r="M115" s="222" t="s">
        <v>287</v>
      </c>
      <c r="N115" s="222" t="s">
        <v>288</v>
      </c>
      <c r="O115" s="222" t="s">
        <v>289</v>
      </c>
      <c r="P115" s="222" t="s">
        <v>290</v>
      </c>
      <c r="Q115" s="222" t="s">
        <v>291</v>
      </c>
      <c r="R115" s="222" t="s">
        <v>292</v>
      </c>
      <c r="S115" s="312"/>
    </row>
    <row r="116" spans="1:19" ht="18.75" customHeight="1">
      <c r="A116" s="231" t="s">
        <v>302</v>
      </c>
      <c r="B116" s="228"/>
      <c r="C116" s="230">
        <f aca="true" t="shared" si="11" ref="C116:R116">SUM(C105:C115)</f>
        <v>426447.5</v>
      </c>
      <c r="D116" s="230">
        <f>SUM(D96:D115)</f>
        <v>0</v>
      </c>
      <c r="E116" s="230">
        <f t="shared" si="11"/>
        <v>0</v>
      </c>
      <c r="F116" s="230">
        <f t="shared" si="11"/>
        <v>0</v>
      </c>
      <c r="G116" s="230">
        <f t="shared" si="11"/>
        <v>0</v>
      </c>
      <c r="H116" s="230">
        <f t="shared" si="11"/>
        <v>0</v>
      </c>
      <c r="I116" s="230">
        <f t="shared" si="11"/>
        <v>0</v>
      </c>
      <c r="J116" s="230">
        <f>SUM(J96:J115)</f>
        <v>0</v>
      </c>
      <c r="K116" s="230">
        <f t="shared" si="11"/>
        <v>0</v>
      </c>
      <c r="L116" s="230">
        <f t="shared" si="11"/>
        <v>0</v>
      </c>
      <c r="M116" s="230">
        <f t="shared" si="11"/>
        <v>0</v>
      </c>
      <c r="N116" s="230">
        <f t="shared" si="11"/>
        <v>0</v>
      </c>
      <c r="O116" s="230">
        <f t="shared" si="11"/>
        <v>0</v>
      </c>
      <c r="P116" s="230">
        <f t="shared" si="11"/>
        <v>0</v>
      </c>
      <c r="Q116" s="230">
        <f t="shared" si="11"/>
        <v>0</v>
      </c>
      <c r="R116" s="230">
        <f t="shared" si="11"/>
        <v>0</v>
      </c>
      <c r="S116" s="229">
        <f>SUM(S96:S115)</f>
        <v>426447.5</v>
      </c>
    </row>
    <row r="117" spans="1:19" ht="18.75" customHeight="1" thickBot="1">
      <c r="A117" s="232" t="s">
        <v>303</v>
      </c>
      <c r="B117" s="233"/>
      <c r="C117" s="235">
        <f>0+6500+27180+32107.49+76848.7+426447.5</f>
        <v>569083.69</v>
      </c>
      <c r="D117" s="235">
        <f>0+12500</f>
        <v>12500</v>
      </c>
      <c r="E117" s="235">
        <f>0</f>
        <v>0</v>
      </c>
      <c r="F117" s="235">
        <f>0</f>
        <v>0</v>
      </c>
      <c r="G117" s="235">
        <f>0</f>
        <v>0</v>
      </c>
      <c r="H117" s="235">
        <f>0</f>
        <v>0</v>
      </c>
      <c r="I117" s="235">
        <f>0</f>
        <v>0</v>
      </c>
      <c r="J117" s="235">
        <f>0+77575+37129+54800</f>
        <v>169504</v>
      </c>
      <c r="K117" s="235">
        <f>0</f>
        <v>0</v>
      </c>
      <c r="L117" s="235">
        <f>0</f>
        <v>0</v>
      </c>
      <c r="M117" s="235">
        <f>0</f>
        <v>0</v>
      </c>
      <c r="N117" s="235">
        <f>0</f>
        <v>0</v>
      </c>
      <c r="O117" s="235">
        <f>0</f>
        <v>0</v>
      </c>
      <c r="P117" s="235">
        <f>0</f>
        <v>0</v>
      </c>
      <c r="Q117" s="235">
        <f>0</f>
        <v>0</v>
      </c>
      <c r="R117" s="235">
        <f>0</f>
        <v>0</v>
      </c>
      <c r="S117" s="234">
        <f>0+6500+27180+109682.49+113977.7+67300+426447.5</f>
        <v>751087.69</v>
      </c>
    </row>
    <row r="118" spans="1:19" ht="18.75" customHeight="1" thickTop="1">
      <c r="A118" s="246" t="s">
        <v>170</v>
      </c>
      <c r="B118" s="224">
        <v>5420000</v>
      </c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5"/>
      <c r="S118" s="225"/>
    </row>
    <row r="119" spans="1:19" ht="18.75" customHeight="1">
      <c r="A119" s="227" t="s">
        <v>360</v>
      </c>
      <c r="B119" s="228">
        <v>5421000</v>
      </c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29"/>
      <c r="S119" s="229">
        <f>SUM(C119:R119)</f>
        <v>0</v>
      </c>
    </row>
    <row r="120" spans="1:19" ht="18.75" customHeight="1">
      <c r="A120" s="227" t="s">
        <v>361</v>
      </c>
      <c r="B120" s="228">
        <v>5421100</v>
      </c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29"/>
      <c r="S120" s="229">
        <f>SUM(C120:R120)</f>
        <v>0</v>
      </c>
    </row>
    <row r="121" spans="1:19" ht="18.75" customHeight="1">
      <c r="A121" s="231" t="s">
        <v>302</v>
      </c>
      <c r="B121" s="228"/>
      <c r="C121" s="230">
        <f aca="true" t="shared" si="12" ref="C121:S121">SUM(C119:C120)</f>
        <v>0</v>
      </c>
      <c r="D121" s="230">
        <f t="shared" si="12"/>
        <v>0</v>
      </c>
      <c r="E121" s="230">
        <f t="shared" si="12"/>
        <v>0</v>
      </c>
      <c r="F121" s="230">
        <f t="shared" si="12"/>
        <v>0</v>
      </c>
      <c r="G121" s="230">
        <f t="shared" si="12"/>
        <v>0</v>
      </c>
      <c r="H121" s="230">
        <f t="shared" si="12"/>
        <v>0</v>
      </c>
      <c r="I121" s="230">
        <f t="shared" si="12"/>
        <v>0</v>
      </c>
      <c r="J121" s="230">
        <f t="shared" si="12"/>
        <v>0</v>
      </c>
      <c r="K121" s="230">
        <f t="shared" si="12"/>
        <v>0</v>
      </c>
      <c r="L121" s="230">
        <f t="shared" si="12"/>
        <v>0</v>
      </c>
      <c r="M121" s="230">
        <f t="shared" si="12"/>
        <v>0</v>
      </c>
      <c r="N121" s="230">
        <f t="shared" si="12"/>
        <v>0</v>
      </c>
      <c r="O121" s="230">
        <f t="shared" si="12"/>
        <v>0</v>
      </c>
      <c r="P121" s="230">
        <f t="shared" si="12"/>
        <v>0</v>
      </c>
      <c r="Q121" s="230">
        <f t="shared" si="12"/>
        <v>0</v>
      </c>
      <c r="R121" s="230">
        <f t="shared" si="12"/>
        <v>0</v>
      </c>
      <c r="S121" s="229">
        <f t="shared" si="12"/>
        <v>0</v>
      </c>
    </row>
    <row r="122" spans="1:19" ht="18.75" customHeight="1" thickBot="1">
      <c r="A122" s="232" t="s">
        <v>303</v>
      </c>
      <c r="B122" s="233"/>
      <c r="C122" s="235">
        <f>0</f>
        <v>0</v>
      </c>
      <c r="D122" s="235">
        <f>0</f>
        <v>0</v>
      </c>
      <c r="E122" s="235">
        <f>0</f>
        <v>0</v>
      </c>
      <c r="F122" s="235">
        <f>0</f>
        <v>0</v>
      </c>
      <c r="G122" s="235">
        <f>0</f>
        <v>0</v>
      </c>
      <c r="H122" s="235">
        <f>0</f>
        <v>0</v>
      </c>
      <c r="I122" s="235">
        <f>0</f>
        <v>0</v>
      </c>
      <c r="J122" s="235">
        <f>0</f>
        <v>0</v>
      </c>
      <c r="K122" s="235">
        <f>0</f>
        <v>0</v>
      </c>
      <c r="L122" s="235">
        <f>0</f>
        <v>0</v>
      </c>
      <c r="M122" s="235">
        <f>0</f>
        <v>0</v>
      </c>
      <c r="N122" s="235">
        <f>0</f>
        <v>0</v>
      </c>
      <c r="O122" s="235">
        <f>0</f>
        <v>0</v>
      </c>
      <c r="P122" s="235">
        <f>0</f>
        <v>0</v>
      </c>
      <c r="Q122" s="235">
        <f>0</f>
        <v>0</v>
      </c>
      <c r="R122" s="235">
        <f>0</f>
        <v>0</v>
      </c>
      <c r="S122" s="234">
        <f>0</f>
        <v>0</v>
      </c>
    </row>
    <row r="123" spans="1:19" ht="18.75" customHeight="1" thickTop="1">
      <c r="A123" s="223" t="s">
        <v>105</v>
      </c>
      <c r="B123" s="224">
        <v>5510000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5"/>
      <c r="S123" s="225"/>
    </row>
    <row r="124" spans="1:19" ht="18.75" customHeight="1">
      <c r="A124" s="227" t="s">
        <v>362</v>
      </c>
      <c r="B124" s="228">
        <v>5510100</v>
      </c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29"/>
      <c r="S124" s="229"/>
    </row>
    <row r="125" spans="1:19" ht="18.75" customHeight="1">
      <c r="A125" s="227" t="s">
        <v>363</v>
      </c>
      <c r="B125" s="228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29"/>
      <c r="S125" s="229"/>
    </row>
    <row r="126" spans="1:19" ht="18.75" customHeight="1">
      <c r="A126" s="227" t="s">
        <v>364</v>
      </c>
      <c r="B126" s="228">
        <v>5510100</v>
      </c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>
        <f>SUM(C126:R126)</f>
        <v>0</v>
      </c>
    </row>
    <row r="127" spans="1:19" ht="18.75" customHeight="1">
      <c r="A127" s="231" t="s">
        <v>302</v>
      </c>
      <c r="B127" s="228"/>
      <c r="C127" s="230">
        <f aca="true" t="shared" si="13" ref="C127:R127">SUM(C125:C126)</f>
        <v>0</v>
      </c>
      <c r="D127" s="230">
        <f t="shared" si="13"/>
        <v>0</v>
      </c>
      <c r="E127" s="230">
        <f t="shared" si="13"/>
        <v>0</v>
      </c>
      <c r="F127" s="230">
        <f t="shared" si="13"/>
        <v>0</v>
      </c>
      <c r="G127" s="230">
        <f t="shared" si="13"/>
        <v>0</v>
      </c>
      <c r="H127" s="230">
        <f t="shared" si="13"/>
        <v>0</v>
      </c>
      <c r="I127" s="230">
        <f t="shared" si="13"/>
        <v>0</v>
      </c>
      <c r="J127" s="230">
        <f t="shared" si="13"/>
        <v>0</v>
      </c>
      <c r="K127" s="230">
        <f t="shared" si="13"/>
        <v>0</v>
      </c>
      <c r="L127" s="230">
        <f t="shared" si="13"/>
        <v>0</v>
      </c>
      <c r="M127" s="230">
        <f t="shared" si="13"/>
        <v>0</v>
      </c>
      <c r="N127" s="230">
        <f t="shared" si="13"/>
        <v>0</v>
      </c>
      <c r="O127" s="230">
        <f t="shared" si="13"/>
        <v>0</v>
      </c>
      <c r="P127" s="230">
        <f t="shared" si="13"/>
        <v>0</v>
      </c>
      <c r="Q127" s="230">
        <f t="shared" si="13"/>
        <v>0</v>
      </c>
      <c r="R127" s="230">
        <f t="shared" si="13"/>
        <v>0</v>
      </c>
      <c r="S127" s="229">
        <f>SUM(S124:S126)</f>
        <v>0</v>
      </c>
    </row>
    <row r="128" spans="1:19" ht="18.75" customHeight="1" thickBot="1">
      <c r="A128" s="232" t="s">
        <v>303</v>
      </c>
      <c r="B128" s="233"/>
      <c r="C128" s="234">
        <f>0</f>
        <v>0</v>
      </c>
      <c r="D128" s="234">
        <f>0</f>
        <v>0</v>
      </c>
      <c r="E128" s="234">
        <f>0</f>
        <v>0</v>
      </c>
      <c r="F128" s="234">
        <f>0</f>
        <v>0</v>
      </c>
      <c r="G128" s="234">
        <f>0</f>
        <v>0</v>
      </c>
      <c r="H128" s="234">
        <f>0</f>
        <v>0</v>
      </c>
      <c r="I128" s="234">
        <f>0</f>
        <v>0</v>
      </c>
      <c r="J128" s="234">
        <f>0</f>
        <v>0</v>
      </c>
      <c r="K128" s="234">
        <f>0</f>
        <v>0</v>
      </c>
      <c r="L128" s="234">
        <f>0</f>
        <v>0</v>
      </c>
      <c r="M128" s="234">
        <f>0</f>
        <v>0</v>
      </c>
      <c r="N128" s="234">
        <f>0</f>
        <v>0</v>
      </c>
      <c r="O128" s="234">
        <f>0</f>
        <v>0</v>
      </c>
      <c r="P128" s="234">
        <f>0</f>
        <v>0</v>
      </c>
      <c r="Q128" s="234">
        <f>0</f>
        <v>0</v>
      </c>
      <c r="R128" s="234">
        <f>0</f>
        <v>0</v>
      </c>
      <c r="S128" s="234">
        <f>0</f>
        <v>0</v>
      </c>
    </row>
    <row r="129" spans="1:19" ht="18.75" customHeight="1" thickTop="1">
      <c r="A129" s="223" t="s">
        <v>104</v>
      </c>
      <c r="B129" s="224">
        <v>5610000</v>
      </c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</row>
    <row r="130" spans="1:19" ht="18.75" customHeight="1">
      <c r="A130" s="227" t="s">
        <v>365</v>
      </c>
      <c r="B130" s="224">
        <v>5610100</v>
      </c>
      <c r="C130" s="247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48">
        <f>SUM(C130:R130)</f>
        <v>0</v>
      </c>
    </row>
    <row r="131" spans="1:19" ht="18.75" customHeight="1">
      <c r="A131" s="227" t="s">
        <v>366</v>
      </c>
      <c r="B131" s="228">
        <v>5610200</v>
      </c>
      <c r="C131" s="229"/>
      <c r="D131" s="229"/>
      <c r="E131" s="229"/>
      <c r="F131" s="230"/>
      <c r="G131" s="230"/>
      <c r="H131" s="230"/>
      <c r="I131" s="230"/>
      <c r="J131" s="229"/>
      <c r="K131" s="229"/>
      <c r="L131" s="229"/>
      <c r="M131" s="229"/>
      <c r="N131" s="230"/>
      <c r="O131" s="230"/>
      <c r="P131" s="230"/>
      <c r="Q131" s="230"/>
      <c r="R131" s="229"/>
      <c r="S131" s="229">
        <f>SUM(C131:R131)</f>
        <v>0</v>
      </c>
    </row>
    <row r="132" spans="1:19" ht="18.75" customHeight="1">
      <c r="A132" s="227" t="s">
        <v>367</v>
      </c>
      <c r="B132" s="228">
        <v>5610300</v>
      </c>
      <c r="C132" s="229"/>
      <c r="D132" s="229"/>
      <c r="E132" s="229"/>
      <c r="F132" s="230"/>
      <c r="G132" s="230"/>
      <c r="H132" s="230"/>
      <c r="I132" s="230"/>
      <c r="J132" s="229"/>
      <c r="K132" s="229"/>
      <c r="L132" s="229"/>
      <c r="M132" s="229"/>
      <c r="N132" s="230"/>
      <c r="O132" s="230"/>
      <c r="P132" s="230"/>
      <c r="Q132" s="230"/>
      <c r="R132" s="229"/>
      <c r="S132" s="229">
        <f>SUM(C132:R132)</f>
        <v>0</v>
      </c>
    </row>
    <row r="133" spans="1:19" ht="18.75" customHeight="1">
      <c r="A133" s="227" t="s">
        <v>368</v>
      </c>
      <c r="B133" s="228">
        <v>5610400</v>
      </c>
      <c r="C133" s="229"/>
      <c r="D133" s="229"/>
      <c r="E133" s="229"/>
      <c r="F133" s="230">
        <v>30000</v>
      </c>
      <c r="G133" s="230"/>
      <c r="H133" s="230"/>
      <c r="I133" s="230"/>
      <c r="J133" s="229"/>
      <c r="K133" s="229"/>
      <c r="L133" s="229"/>
      <c r="M133" s="229"/>
      <c r="N133" s="230"/>
      <c r="O133" s="230"/>
      <c r="P133" s="230"/>
      <c r="Q133" s="230"/>
      <c r="R133" s="229"/>
      <c r="S133" s="229">
        <f>SUM(C133:R133)</f>
        <v>30000</v>
      </c>
    </row>
    <row r="134" spans="1:19" ht="18.75" customHeight="1">
      <c r="A134" s="231" t="s">
        <v>302</v>
      </c>
      <c r="B134" s="228"/>
      <c r="C134" s="229">
        <f aca="true" t="shared" si="14" ref="C134:S134">SUM(C130:C133)</f>
        <v>0</v>
      </c>
      <c r="D134" s="229">
        <f t="shared" si="14"/>
        <v>0</v>
      </c>
      <c r="E134" s="229">
        <f t="shared" si="14"/>
        <v>0</v>
      </c>
      <c r="F134" s="229">
        <f t="shared" si="14"/>
        <v>30000</v>
      </c>
      <c r="G134" s="229">
        <f t="shared" si="14"/>
        <v>0</v>
      </c>
      <c r="H134" s="229">
        <f t="shared" si="14"/>
        <v>0</v>
      </c>
      <c r="I134" s="229">
        <f t="shared" si="14"/>
        <v>0</v>
      </c>
      <c r="J134" s="229">
        <f t="shared" si="14"/>
        <v>0</v>
      </c>
      <c r="K134" s="229">
        <f t="shared" si="14"/>
        <v>0</v>
      </c>
      <c r="L134" s="229">
        <f t="shared" si="14"/>
        <v>0</v>
      </c>
      <c r="M134" s="229">
        <f t="shared" si="14"/>
        <v>0</v>
      </c>
      <c r="N134" s="229">
        <f t="shared" si="14"/>
        <v>0</v>
      </c>
      <c r="O134" s="229">
        <f t="shared" si="14"/>
        <v>0</v>
      </c>
      <c r="P134" s="229">
        <f t="shared" si="14"/>
        <v>0</v>
      </c>
      <c r="Q134" s="229">
        <f t="shared" si="14"/>
        <v>0</v>
      </c>
      <c r="R134" s="229">
        <f t="shared" si="14"/>
        <v>0</v>
      </c>
      <c r="S134" s="229">
        <f t="shared" si="14"/>
        <v>30000</v>
      </c>
    </row>
    <row r="135" spans="1:19" ht="18.75" customHeight="1" thickBot="1">
      <c r="A135" s="232" t="s">
        <v>303</v>
      </c>
      <c r="B135" s="233"/>
      <c r="C135" s="234">
        <f>0</f>
        <v>0</v>
      </c>
      <c r="D135" s="234">
        <f>0</f>
        <v>0</v>
      </c>
      <c r="E135" s="234">
        <f>0</f>
        <v>0</v>
      </c>
      <c r="F135" s="234">
        <f>0+1292000+30000</f>
        <v>1322000</v>
      </c>
      <c r="G135" s="234">
        <f>0</f>
        <v>0</v>
      </c>
      <c r="H135" s="234">
        <f>0</f>
        <v>0</v>
      </c>
      <c r="I135" s="234">
        <f>0</f>
        <v>0</v>
      </c>
      <c r="J135" s="234">
        <f>0</f>
        <v>0</v>
      </c>
      <c r="K135" s="234">
        <f>0</f>
        <v>0</v>
      </c>
      <c r="L135" s="234">
        <f>0</f>
        <v>0</v>
      </c>
      <c r="M135" s="234">
        <f>0</f>
        <v>0</v>
      </c>
      <c r="N135" s="234">
        <f>0</f>
        <v>0</v>
      </c>
      <c r="O135" s="234">
        <f>0</f>
        <v>0</v>
      </c>
      <c r="P135" s="234">
        <f>0</f>
        <v>0</v>
      </c>
      <c r="Q135" s="234">
        <f>0</f>
        <v>0</v>
      </c>
      <c r="R135" s="234">
        <f>0</f>
        <v>0</v>
      </c>
      <c r="S135" s="234">
        <f>0+1292000+30000</f>
        <v>1322000</v>
      </c>
    </row>
    <row r="136" spans="1:19" ht="18.75" customHeight="1" thickBot="1" thickTop="1">
      <c r="A136" s="249" t="s">
        <v>302</v>
      </c>
      <c r="B136" s="250"/>
      <c r="C136" s="251">
        <f aca="true" t="shared" si="15" ref="C136:R136">C21+C29+C45+C54+C62+C85+C93+C116+C121+C127+C134</f>
        <v>1480251.57</v>
      </c>
      <c r="D136" s="251">
        <f t="shared" si="15"/>
        <v>205215</v>
      </c>
      <c r="E136" s="251">
        <f t="shared" si="15"/>
        <v>80400</v>
      </c>
      <c r="F136" s="251">
        <f t="shared" si="15"/>
        <v>217145</v>
      </c>
      <c r="G136" s="251">
        <f t="shared" si="15"/>
        <v>177000</v>
      </c>
      <c r="H136" s="251">
        <f t="shared" si="15"/>
        <v>20000</v>
      </c>
      <c r="I136" s="251">
        <f t="shared" si="15"/>
        <v>0</v>
      </c>
      <c r="J136" s="251">
        <f t="shared" si="15"/>
        <v>221604.04</v>
      </c>
      <c r="K136" s="251">
        <f t="shared" si="15"/>
        <v>2100</v>
      </c>
      <c r="L136" s="251">
        <f t="shared" si="15"/>
        <v>0</v>
      </c>
      <c r="M136" s="251">
        <f t="shared" si="15"/>
        <v>0</v>
      </c>
      <c r="N136" s="251">
        <f t="shared" si="15"/>
        <v>0</v>
      </c>
      <c r="O136" s="251">
        <f t="shared" si="15"/>
        <v>62812.79</v>
      </c>
      <c r="P136" s="251">
        <f t="shared" si="15"/>
        <v>0</v>
      </c>
      <c r="Q136" s="251">
        <f t="shared" si="15"/>
        <v>0</v>
      </c>
      <c r="R136" s="251">
        <f t="shared" si="15"/>
        <v>1191052</v>
      </c>
      <c r="S136" s="251">
        <f>SUM(C136:R136)</f>
        <v>3657580.4000000004</v>
      </c>
    </row>
    <row r="137" spans="1:19" ht="18.75" customHeight="1" thickBot="1" thickTop="1">
      <c r="A137" s="249" t="s">
        <v>303</v>
      </c>
      <c r="B137" s="250"/>
      <c r="C137" s="251">
        <f>0+618089.06+677182.65+705601.72+877355.49+817054.89+741209.11+1480251.57</f>
        <v>5916744.49</v>
      </c>
      <c r="D137" s="251">
        <f>0+187250+205200+180900+211000+259847+230230+205215</f>
        <v>1479642</v>
      </c>
      <c r="E137" s="251">
        <f>0+23319+49500+80400</f>
        <v>153219</v>
      </c>
      <c r="F137" s="251">
        <f>0+177630+1488630+190674.67+189030+191923.5+188065+217145</f>
        <v>2643098.17</v>
      </c>
      <c r="G137" s="251">
        <f>0+175680+183000+329415+177000</f>
        <v>865095</v>
      </c>
      <c r="H137" s="251">
        <f>0+21800+21230+20000+20000+20000</f>
        <v>103030</v>
      </c>
      <c r="I137" s="251">
        <f>0</f>
        <v>0</v>
      </c>
      <c r="J137" s="251">
        <f>0+132825+160580.73+173009.21+283946.05+273552+299881.09+221604.04</f>
        <v>1545398.12</v>
      </c>
      <c r="K137" s="251">
        <f>0+13260+2000+22147.5+45534+22965+6712.5+2100</f>
        <v>114719</v>
      </c>
      <c r="L137" s="251">
        <f>0</f>
        <v>0</v>
      </c>
      <c r="M137" s="251">
        <f>0</f>
        <v>0</v>
      </c>
      <c r="N137" s="251">
        <f>0</f>
        <v>0</v>
      </c>
      <c r="O137" s="251">
        <f>0+80000+62812.79</f>
        <v>142812.79</v>
      </c>
      <c r="P137" s="251">
        <f>0</f>
        <v>0</v>
      </c>
      <c r="Q137" s="251">
        <f>0</f>
        <v>0</v>
      </c>
      <c r="R137" s="251">
        <f>8797116.91+1191052</f>
        <v>9988168.91</v>
      </c>
      <c r="S137" s="251">
        <f>SUM(C137:R137)</f>
        <v>22951927.48</v>
      </c>
    </row>
    <row r="138" spans="1:19" ht="21.75" customHeight="1" thickTop="1">
      <c r="A138" s="325" t="s">
        <v>369</v>
      </c>
      <c r="B138" s="325"/>
      <c r="C138" s="325"/>
      <c r="D138" s="325"/>
      <c r="E138" s="325"/>
      <c r="F138" s="325"/>
      <c r="G138" s="325"/>
      <c r="H138" s="325"/>
      <c r="I138" s="325"/>
      <c r="J138" s="325"/>
      <c r="K138" s="325"/>
      <c r="L138" s="325"/>
      <c r="M138" s="325"/>
      <c r="N138" s="325"/>
      <c r="O138" s="325"/>
      <c r="P138" s="325"/>
      <c r="Q138" s="325"/>
      <c r="R138" s="325"/>
      <c r="S138" s="325"/>
    </row>
    <row r="139" spans="1:19" ht="21.75" customHeight="1">
      <c r="A139" s="325" t="s">
        <v>404</v>
      </c>
      <c r="B139" s="325"/>
      <c r="C139" s="325"/>
      <c r="D139" s="325"/>
      <c r="E139" s="325"/>
      <c r="F139" s="325"/>
      <c r="G139" s="325"/>
      <c r="H139" s="325"/>
      <c r="I139" s="325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</row>
    <row r="140" spans="1:19" ht="9" customHeight="1">
      <c r="A140" s="206"/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</row>
    <row r="141" spans="1:19" ht="19.5" customHeight="1">
      <c r="A141" s="207"/>
      <c r="B141" s="207" t="s">
        <v>240</v>
      </c>
      <c r="C141" s="322" t="s">
        <v>22</v>
      </c>
      <c r="D141" s="323"/>
      <c r="E141" s="209" t="s">
        <v>241</v>
      </c>
      <c r="F141" s="322" t="s">
        <v>26</v>
      </c>
      <c r="G141" s="323"/>
      <c r="H141" s="210" t="s">
        <v>73</v>
      </c>
      <c r="I141" s="208" t="s">
        <v>242</v>
      </c>
      <c r="J141" s="322" t="s">
        <v>23</v>
      </c>
      <c r="K141" s="323"/>
      <c r="L141" s="322" t="s">
        <v>208</v>
      </c>
      <c r="M141" s="323"/>
      <c r="N141" s="322" t="s">
        <v>243</v>
      </c>
      <c r="O141" s="324"/>
      <c r="P141" s="323"/>
      <c r="Q141" s="211" t="s">
        <v>218</v>
      </c>
      <c r="R141" s="210" t="s">
        <v>157</v>
      </c>
      <c r="S141" s="310" t="s">
        <v>53</v>
      </c>
    </row>
    <row r="142" spans="1:19" ht="19.5" customHeight="1">
      <c r="A142" s="212"/>
      <c r="B142" s="213"/>
      <c r="C142" s="319" t="s">
        <v>244</v>
      </c>
      <c r="D142" s="320"/>
      <c r="E142" s="214" t="s">
        <v>245</v>
      </c>
      <c r="F142" s="319" t="s">
        <v>246</v>
      </c>
      <c r="G142" s="320"/>
      <c r="H142" s="216" t="s">
        <v>247</v>
      </c>
      <c r="I142" s="215" t="s">
        <v>248</v>
      </c>
      <c r="J142" s="319" t="s">
        <v>249</v>
      </c>
      <c r="K142" s="320"/>
      <c r="L142" s="319" t="s">
        <v>250</v>
      </c>
      <c r="M142" s="320"/>
      <c r="N142" s="319" t="s">
        <v>251</v>
      </c>
      <c r="O142" s="321"/>
      <c r="P142" s="320"/>
      <c r="Q142" s="215" t="s">
        <v>252</v>
      </c>
      <c r="R142" s="216" t="s">
        <v>253</v>
      </c>
      <c r="S142" s="311"/>
    </row>
    <row r="143" spans="1:19" ht="19.5" customHeight="1">
      <c r="A143" s="212"/>
      <c r="B143" s="213"/>
      <c r="C143" s="217" t="s">
        <v>21</v>
      </c>
      <c r="D143" s="217" t="s">
        <v>24</v>
      </c>
      <c r="E143" s="217" t="s">
        <v>21</v>
      </c>
      <c r="F143" s="217" t="s">
        <v>21</v>
      </c>
      <c r="G143" s="217" t="s">
        <v>27</v>
      </c>
      <c r="H143" s="217" t="s">
        <v>254</v>
      </c>
      <c r="I143" s="217" t="s">
        <v>255</v>
      </c>
      <c r="J143" s="217" t="s">
        <v>21</v>
      </c>
      <c r="K143" s="217" t="s">
        <v>256</v>
      </c>
      <c r="L143" s="217" t="s">
        <v>21</v>
      </c>
      <c r="M143" s="217" t="s">
        <v>257</v>
      </c>
      <c r="N143" s="217" t="s">
        <v>258</v>
      </c>
      <c r="O143" s="217" t="s">
        <v>259</v>
      </c>
      <c r="P143" s="217" t="s">
        <v>260</v>
      </c>
      <c r="Q143" s="217" t="s">
        <v>261</v>
      </c>
      <c r="R143" s="217" t="s">
        <v>157</v>
      </c>
      <c r="S143" s="311"/>
    </row>
    <row r="144" spans="1:19" ht="19.5" customHeight="1">
      <c r="A144" s="212"/>
      <c r="B144" s="213"/>
      <c r="C144" s="218"/>
      <c r="D144" s="218"/>
      <c r="E144" s="218" t="s">
        <v>262</v>
      </c>
      <c r="F144" s="218" t="s">
        <v>13</v>
      </c>
      <c r="G144" s="218" t="s">
        <v>111</v>
      </c>
      <c r="H144" s="218" t="s">
        <v>74</v>
      </c>
      <c r="I144" s="218" t="s">
        <v>74</v>
      </c>
      <c r="J144" s="218" t="s">
        <v>263</v>
      </c>
      <c r="K144" s="218" t="s">
        <v>264</v>
      </c>
      <c r="L144" s="218" t="s">
        <v>265</v>
      </c>
      <c r="M144" s="218" t="s">
        <v>266</v>
      </c>
      <c r="N144" s="218" t="s">
        <v>225</v>
      </c>
      <c r="O144" s="218" t="s">
        <v>228</v>
      </c>
      <c r="P144" s="218" t="s">
        <v>267</v>
      </c>
      <c r="Q144" s="218" t="s">
        <v>268</v>
      </c>
      <c r="R144" s="218"/>
      <c r="S144" s="311"/>
    </row>
    <row r="145" spans="1:19" ht="19.5" customHeight="1">
      <c r="A145" s="212"/>
      <c r="B145" s="213"/>
      <c r="C145" s="218"/>
      <c r="D145" s="218"/>
      <c r="E145" s="218" t="s">
        <v>269</v>
      </c>
      <c r="F145" s="219"/>
      <c r="G145" s="218"/>
      <c r="H145" s="218" t="s">
        <v>270</v>
      </c>
      <c r="I145" s="218" t="s">
        <v>242</v>
      </c>
      <c r="J145" s="218" t="s">
        <v>142</v>
      </c>
      <c r="K145" s="218" t="s">
        <v>271</v>
      </c>
      <c r="L145" s="218" t="s">
        <v>272</v>
      </c>
      <c r="M145" s="218" t="s">
        <v>273</v>
      </c>
      <c r="N145" s="218"/>
      <c r="O145" s="218" t="s">
        <v>274</v>
      </c>
      <c r="P145" s="218" t="s">
        <v>275</v>
      </c>
      <c r="Q145" s="218" t="s">
        <v>219</v>
      </c>
      <c r="R145" s="218"/>
      <c r="S145" s="311"/>
    </row>
    <row r="146" spans="1:19" ht="19.5" customHeight="1">
      <c r="A146" s="220" t="s">
        <v>276</v>
      </c>
      <c r="B146" s="221"/>
      <c r="C146" s="222" t="s">
        <v>277</v>
      </c>
      <c r="D146" s="222" t="s">
        <v>278</v>
      </c>
      <c r="E146" s="222" t="s">
        <v>279</v>
      </c>
      <c r="F146" s="222" t="s">
        <v>280</v>
      </c>
      <c r="G146" s="222" t="s">
        <v>281</v>
      </c>
      <c r="H146" s="222" t="s">
        <v>282</v>
      </c>
      <c r="I146" s="222" t="s">
        <v>283</v>
      </c>
      <c r="J146" s="222" t="s">
        <v>284</v>
      </c>
      <c r="K146" s="222" t="s">
        <v>285</v>
      </c>
      <c r="L146" s="222" t="s">
        <v>286</v>
      </c>
      <c r="M146" s="222" t="s">
        <v>287</v>
      </c>
      <c r="N146" s="222" t="s">
        <v>288</v>
      </c>
      <c r="O146" s="222" t="s">
        <v>289</v>
      </c>
      <c r="P146" s="222" t="s">
        <v>290</v>
      </c>
      <c r="Q146" s="222" t="s">
        <v>291</v>
      </c>
      <c r="R146" s="222" t="s">
        <v>292</v>
      </c>
      <c r="S146" s="312"/>
    </row>
    <row r="147" spans="1:19" ht="15.75" customHeight="1">
      <c r="A147" s="223" t="s">
        <v>157</v>
      </c>
      <c r="B147" s="224">
        <v>5100000</v>
      </c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6"/>
      <c r="S147" s="225"/>
    </row>
    <row r="148" spans="1:19" ht="15.75" customHeight="1">
      <c r="A148" s="227" t="s">
        <v>293</v>
      </c>
      <c r="B148" s="228">
        <v>5110300</v>
      </c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30">
        <v>83760</v>
      </c>
      <c r="S148" s="229">
        <f aca="true" t="shared" si="16" ref="S148:S158">SUM(R148)</f>
        <v>83760</v>
      </c>
    </row>
    <row r="149" spans="1:19" ht="15.75" customHeight="1">
      <c r="A149" s="227" t="s">
        <v>370</v>
      </c>
      <c r="B149" s="228">
        <v>5110301</v>
      </c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30">
        <v>0</v>
      </c>
      <c r="S149" s="229">
        <f t="shared" si="16"/>
        <v>0</v>
      </c>
    </row>
    <row r="150" spans="1:19" ht="15.75" customHeight="1">
      <c r="A150" s="227" t="s">
        <v>294</v>
      </c>
      <c r="B150" s="228">
        <v>5110700</v>
      </c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30">
        <v>4652400</v>
      </c>
      <c r="S150" s="229">
        <f t="shared" si="16"/>
        <v>4652400</v>
      </c>
    </row>
    <row r="151" spans="1:19" ht="15.75" customHeight="1">
      <c r="A151" s="227" t="s">
        <v>295</v>
      </c>
      <c r="B151" s="228">
        <v>5110800</v>
      </c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30">
        <v>822400</v>
      </c>
      <c r="S151" s="229">
        <f t="shared" si="16"/>
        <v>822400</v>
      </c>
    </row>
    <row r="152" spans="1:19" ht="15.75" customHeight="1">
      <c r="A152" s="227" t="s">
        <v>296</v>
      </c>
      <c r="B152" s="228">
        <v>5110900</v>
      </c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30">
        <v>89500</v>
      </c>
      <c r="S152" s="229">
        <f t="shared" si="16"/>
        <v>89500</v>
      </c>
    </row>
    <row r="153" spans="1:19" ht="15.75" customHeight="1">
      <c r="A153" s="227" t="s">
        <v>297</v>
      </c>
      <c r="B153" s="228">
        <v>5111000</v>
      </c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30">
        <v>74736</v>
      </c>
      <c r="S153" s="229">
        <f t="shared" si="16"/>
        <v>74736</v>
      </c>
    </row>
    <row r="154" spans="1:19" ht="15.75" customHeight="1">
      <c r="A154" s="227" t="s">
        <v>298</v>
      </c>
      <c r="B154" s="228">
        <v>5111100</v>
      </c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30">
        <f>50000+0.09+250000</f>
        <v>300000.08999999997</v>
      </c>
      <c r="S154" s="229">
        <f t="shared" si="16"/>
        <v>300000.08999999997</v>
      </c>
    </row>
    <row r="155" spans="1:19" ht="15.75" customHeight="1">
      <c r="A155" s="227" t="s">
        <v>371</v>
      </c>
      <c r="B155" s="228">
        <v>5111200</v>
      </c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30">
        <v>20000</v>
      </c>
      <c r="S155" s="229">
        <f t="shared" si="16"/>
        <v>20000</v>
      </c>
    </row>
    <row r="156" spans="1:19" ht="15.75" customHeight="1">
      <c r="A156" s="227" t="s">
        <v>299</v>
      </c>
      <c r="B156" s="228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30"/>
      <c r="S156" s="229">
        <f t="shared" si="16"/>
        <v>0</v>
      </c>
    </row>
    <row r="157" spans="1:19" ht="15.75" customHeight="1">
      <c r="A157" s="227" t="s">
        <v>300</v>
      </c>
      <c r="B157" s="228">
        <v>5120100</v>
      </c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30">
        <v>0</v>
      </c>
      <c r="S157" s="229">
        <f t="shared" si="16"/>
        <v>0</v>
      </c>
    </row>
    <row r="158" spans="1:19" ht="15.75" customHeight="1">
      <c r="A158" s="227" t="s">
        <v>301</v>
      </c>
      <c r="B158" s="228">
        <v>5120900</v>
      </c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30"/>
      <c r="S158" s="229">
        <f t="shared" si="16"/>
        <v>0</v>
      </c>
    </row>
    <row r="159" spans="1:19" ht="15.75" customHeight="1" thickBot="1">
      <c r="A159" s="252" t="s">
        <v>302</v>
      </c>
      <c r="B159" s="233"/>
      <c r="C159" s="234">
        <f aca="true" t="shared" si="17" ref="C159:P159">SUM(C138:C158)</f>
        <v>0</v>
      </c>
      <c r="D159" s="234">
        <f t="shared" si="17"/>
        <v>0</v>
      </c>
      <c r="E159" s="234">
        <f t="shared" si="17"/>
        <v>0</v>
      </c>
      <c r="F159" s="234">
        <f t="shared" si="17"/>
        <v>0</v>
      </c>
      <c r="G159" s="234">
        <f t="shared" si="17"/>
        <v>0</v>
      </c>
      <c r="H159" s="234">
        <f t="shared" si="17"/>
        <v>0</v>
      </c>
      <c r="I159" s="234">
        <f t="shared" si="17"/>
        <v>0</v>
      </c>
      <c r="J159" s="234">
        <f t="shared" si="17"/>
        <v>0</v>
      </c>
      <c r="K159" s="234">
        <f t="shared" si="17"/>
        <v>0</v>
      </c>
      <c r="L159" s="234">
        <f t="shared" si="17"/>
        <v>0</v>
      </c>
      <c r="M159" s="234">
        <f t="shared" si="17"/>
        <v>0</v>
      </c>
      <c r="N159" s="234">
        <f t="shared" si="17"/>
        <v>0</v>
      </c>
      <c r="O159" s="234">
        <f t="shared" si="17"/>
        <v>0</v>
      </c>
      <c r="P159" s="234">
        <f t="shared" si="17"/>
        <v>0</v>
      </c>
      <c r="Q159" s="234"/>
      <c r="R159" s="234">
        <f>SUM(R138:R158)</f>
        <v>6042796.09</v>
      </c>
      <c r="S159" s="234">
        <f>SUM(S148:S158)</f>
        <v>6042796.09</v>
      </c>
    </row>
    <row r="160" spans="1:19" ht="15.75" customHeight="1" thickTop="1">
      <c r="A160" s="223" t="s">
        <v>304</v>
      </c>
      <c r="B160" s="224">
        <v>5210000</v>
      </c>
      <c r="C160" s="226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</row>
    <row r="161" spans="1:19" ht="15.75" customHeight="1">
      <c r="A161" s="236" t="s">
        <v>305</v>
      </c>
      <c r="B161" s="237">
        <v>5210100</v>
      </c>
      <c r="C161" s="230">
        <v>320040</v>
      </c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>
        <f>SUM(C161:R161)</f>
        <v>320040</v>
      </c>
    </row>
    <row r="162" spans="1:19" ht="15.75" customHeight="1">
      <c r="A162" s="227" t="s">
        <v>306</v>
      </c>
      <c r="B162" s="228">
        <v>5210200</v>
      </c>
      <c r="C162" s="230">
        <v>110000</v>
      </c>
      <c r="D162" s="238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>
        <f>SUM(C162:R162)</f>
        <v>110000</v>
      </c>
    </row>
    <row r="163" spans="1:19" ht="15.75" customHeight="1">
      <c r="A163" s="227" t="s">
        <v>307</v>
      </c>
      <c r="B163" s="228">
        <v>5210300</v>
      </c>
      <c r="C163" s="230">
        <v>110000</v>
      </c>
      <c r="D163" s="238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>
        <f>SUM(C163:R163)</f>
        <v>110000</v>
      </c>
    </row>
    <row r="164" spans="1:19" ht="15.75" customHeight="1">
      <c r="A164" s="227" t="s">
        <v>308</v>
      </c>
      <c r="B164" s="228">
        <v>5210400</v>
      </c>
      <c r="C164" s="230">
        <v>91440</v>
      </c>
      <c r="D164" s="238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>
        <f>SUM(C164:R164)</f>
        <v>91440</v>
      </c>
    </row>
    <row r="165" spans="1:19" ht="15.75" customHeight="1">
      <c r="A165" s="227" t="s">
        <v>309</v>
      </c>
      <c r="B165" s="228">
        <v>5210600</v>
      </c>
      <c r="C165" s="230">
        <v>990090</v>
      </c>
      <c r="D165" s="238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>
        <f>SUM(C165:R165)</f>
        <v>990090</v>
      </c>
    </row>
    <row r="166" spans="1:19" ht="15.75" customHeight="1" thickBot="1">
      <c r="A166" s="252" t="s">
        <v>302</v>
      </c>
      <c r="B166" s="233"/>
      <c r="C166" s="253">
        <f aca="true" t="shared" si="18" ref="C166:P166">SUM(C161:C165)</f>
        <v>1621570</v>
      </c>
      <c r="D166" s="253">
        <f t="shared" si="18"/>
        <v>0</v>
      </c>
      <c r="E166" s="253">
        <f t="shared" si="18"/>
        <v>0</v>
      </c>
      <c r="F166" s="253">
        <f t="shared" si="18"/>
        <v>0</v>
      </c>
      <c r="G166" s="253">
        <f t="shared" si="18"/>
        <v>0</v>
      </c>
      <c r="H166" s="253">
        <f t="shared" si="18"/>
        <v>0</v>
      </c>
      <c r="I166" s="253">
        <f t="shared" si="18"/>
        <v>0</v>
      </c>
      <c r="J166" s="253">
        <f t="shared" si="18"/>
        <v>0</v>
      </c>
      <c r="K166" s="253">
        <f t="shared" si="18"/>
        <v>0</v>
      </c>
      <c r="L166" s="253">
        <f t="shared" si="18"/>
        <v>0</v>
      </c>
      <c r="M166" s="253">
        <f t="shared" si="18"/>
        <v>0</v>
      </c>
      <c r="N166" s="253">
        <f t="shared" si="18"/>
        <v>0</v>
      </c>
      <c r="O166" s="253">
        <f t="shared" si="18"/>
        <v>0</v>
      </c>
      <c r="P166" s="253">
        <f t="shared" si="18"/>
        <v>0</v>
      </c>
      <c r="Q166" s="253"/>
      <c r="R166" s="253">
        <f>SUM(R161:R165)</f>
        <v>0</v>
      </c>
      <c r="S166" s="253">
        <f>SUM(S161:S165)</f>
        <v>1621570</v>
      </c>
    </row>
    <row r="167" spans="1:19" ht="15.75" customHeight="1" thickTop="1">
      <c r="A167" s="223" t="s">
        <v>310</v>
      </c>
      <c r="B167" s="224">
        <v>5220000</v>
      </c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</row>
    <row r="168" spans="1:19" ht="15.75" customHeight="1">
      <c r="A168" s="227" t="s">
        <v>311</v>
      </c>
      <c r="B168" s="228">
        <v>5220100</v>
      </c>
      <c r="C168" s="230">
        <v>1931751.3</v>
      </c>
      <c r="D168" s="230">
        <v>544660</v>
      </c>
      <c r="E168" s="230"/>
      <c r="F168" s="229">
        <v>802100</v>
      </c>
      <c r="G168" s="229"/>
      <c r="H168" s="229"/>
      <c r="I168" s="229"/>
      <c r="J168" s="230">
        <v>747140</v>
      </c>
      <c r="K168" s="229"/>
      <c r="L168" s="229"/>
      <c r="M168" s="229"/>
      <c r="N168" s="229"/>
      <c r="O168" s="229"/>
      <c r="P168" s="229"/>
      <c r="Q168" s="229"/>
      <c r="R168" s="229"/>
      <c r="S168" s="229">
        <f>SUM(C168:R168)</f>
        <v>4025651.3</v>
      </c>
    </row>
    <row r="169" spans="1:19" ht="15.75" customHeight="1">
      <c r="A169" s="227" t="s">
        <v>312</v>
      </c>
      <c r="B169" s="228">
        <v>5220200</v>
      </c>
      <c r="C169" s="230">
        <v>77337.2</v>
      </c>
      <c r="D169" s="230">
        <v>5125</v>
      </c>
      <c r="E169" s="230"/>
      <c r="F169" s="229">
        <v>0</v>
      </c>
      <c r="G169" s="229"/>
      <c r="H169" s="229"/>
      <c r="I169" s="229"/>
      <c r="J169" s="230">
        <v>0</v>
      </c>
      <c r="K169" s="229"/>
      <c r="L169" s="229"/>
      <c r="M169" s="229"/>
      <c r="N169" s="229"/>
      <c r="O169" s="229"/>
      <c r="P169" s="229"/>
      <c r="Q169" s="229"/>
      <c r="R169" s="229"/>
      <c r="S169" s="229">
        <f>SUM(C169:R169)</f>
        <v>82462.2</v>
      </c>
    </row>
    <row r="170" spans="1:19" ht="15.75" customHeight="1">
      <c r="A170" s="227" t="s">
        <v>313</v>
      </c>
      <c r="B170" s="228">
        <v>5220300</v>
      </c>
      <c r="C170" s="230">
        <v>77000</v>
      </c>
      <c r="D170" s="230">
        <v>17500</v>
      </c>
      <c r="E170" s="230"/>
      <c r="F170" s="229">
        <v>0</v>
      </c>
      <c r="G170" s="229"/>
      <c r="H170" s="229"/>
      <c r="I170" s="229"/>
      <c r="J170" s="230">
        <v>17500</v>
      </c>
      <c r="K170" s="229"/>
      <c r="L170" s="229"/>
      <c r="M170" s="229"/>
      <c r="N170" s="229"/>
      <c r="O170" s="229"/>
      <c r="P170" s="229"/>
      <c r="Q170" s="229"/>
      <c r="R170" s="229"/>
      <c r="S170" s="229">
        <f>SUM(C170:R170)</f>
        <v>112000</v>
      </c>
    </row>
    <row r="171" spans="1:19" ht="15.75" customHeight="1">
      <c r="A171" s="227" t="s">
        <v>314</v>
      </c>
      <c r="B171" s="228">
        <v>5220500</v>
      </c>
      <c r="C171" s="230">
        <v>0</v>
      </c>
      <c r="D171" s="230">
        <v>97310</v>
      </c>
      <c r="E171" s="230"/>
      <c r="F171" s="229">
        <v>0</v>
      </c>
      <c r="G171" s="229"/>
      <c r="H171" s="229"/>
      <c r="I171" s="229"/>
      <c r="J171" s="230">
        <v>0</v>
      </c>
      <c r="K171" s="229"/>
      <c r="L171" s="229"/>
      <c r="M171" s="229"/>
      <c r="N171" s="229"/>
      <c r="O171" s="229"/>
      <c r="P171" s="229"/>
      <c r="Q171" s="229"/>
      <c r="R171" s="229"/>
      <c r="S171" s="229">
        <f>SUM(C171:R171)</f>
        <v>97310</v>
      </c>
    </row>
    <row r="172" spans="1:19" ht="16.5" customHeight="1">
      <c r="A172" s="207"/>
      <c r="B172" s="207" t="s">
        <v>240</v>
      </c>
      <c r="C172" s="322" t="s">
        <v>22</v>
      </c>
      <c r="D172" s="323"/>
      <c r="E172" s="209" t="s">
        <v>241</v>
      </c>
      <c r="F172" s="322" t="s">
        <v>26</v>
      </c>
      <c r="G172" s="323"/>
      <c r="H172" s="210" t="s">
        <v>73</v>
      </c>
      <c r="I172" s="208" t="s">
        <v>242</v>
      </c>
      <c r="J172" s="322" t="s">
        <v>23</v>
      </c>
      <c r="K172" s="323"/>
      <c r="L172" s="322" t="s">
        <v>208</v>
      </c>
      <c r="M172" s="323"/>
      <c r="N172" s="322" t="s">
        <v>243</v>
      </c>
      <c r="O172" s="324"/>
      <c r="P172" s="323"/>
      <c r="Q172" s="211" t="s">
        <v>218</v>
      </c>
      <c r="R172" s="210" t="s">
        <v>157</v>
      </c>
      <c r="S172" s="310" t="s">
        <v>53</v>
      </c>
    </row>
    <row r="173" spans="1:19" ht="16.5" customHeight="1">
      <c r="A173" s="212"/>
      <c r="B173" s="213"/>
      <c r="C173" s="319" t="s">
        <v>244</v>
      </c>
      <c r="D173" s="320"/>
      <c r="E173" s="214" t="s">
        <v>245</v>
      </c>
      <c r="F173" s="319" t="s">
        <v>246</v>
      </c>
      <c r="G173" s="320"/>
      <c r="H173" s="216" t="s">
        <v>247</v>
      </c>
      <c r="I173" s="215" t="s">
        <v>248</v>
      </c>
      <c r="J173" s="319" t="s">
        <v>249</v>
      </c>
      <c r="K173" s="320"/>
      <c r="L173" s="319" t="s">
        <v>250</v>
      </c>
      <c r="M173" s="320"/>
      <c r="N173" s="319" t="s">
        <v>251</v>
      </c>
      <c r="O173" s="321"/>
      <c r="P173" s="320"/>
      <c r="Q173" s="215" t="s">
        <v>252</v>
      </c>
      <c r="R173" s="216" t="s">
        <v>253</v>
      </c>
      <c r="S173" s="311"/>
    </row>
    <row r="174" spans="1:19" ht="16.5" customHeight="1">
      <c r="A174" s="212"/>
      <c r="B174" s="213"/>
      <c r="C174" s="217" t="s">
        <v>21</v>
      </c>
      <c r="D174" s="217" t="s">
        <v>24</v>
      </c>
      <c r="E174" s="217" t="s">
        <v>21</v>
      </c>
      <c r="F174" s="217" t="s">
        <v>21</v>
      </c>
      <c r="G174" s="217" t="s">
        <v>27</v>
      </c>
      <c r="H174" s="217" t="s">
        <v>254</v>
      </c>
      <c r="I174" s="217" t="s">
        <v>255</v>
      </c>
      <c r="J174" s="217" t="s">
        <v>21</v>
      </c>
      <c r="K174" s="217" t="s">
        <v>256</v>
      </c>
      <c r="L174" s="217" t="s">
        <v>21</v>
      </c>
      <c r="M174" s="217" t="s">
        <v>257</v>
      </c>
      <c r="N174" s="217" t="s">
        <v>258</v>
      </c>
      <c r="O174" s="217" t="s">
        <v>259</v>
      </c>
      <c r="P174" s="217" t="s">
        <v>260</v>
      </c>
      <c r="Q174" s="217" t="s">
        <v>261</v>
      </c>
      <c r="R174" s="217" t="s">
        <v>157</v>
      </c>
      <c r="S174" s="311"/>
    </row>
    <row r="175" spans="1:19" ht="16.5" customHeight="1">
      <c r="A175" s="212"/>
      <c r="B175" s="213"/>
      <c r="C175" s="218"/>
      <c r="D175" s="218"/>
      <c r="E175" s="218" t="s">
        <v>262</v>
      </c>
      <c r="F175" s="218" t="s">
        <v>13</v>
      </c>
      <c r="G175" s="218" t="s">
        <v>111</v>
      </c>
      <c r="H175" s="218" t="s">
        <v>74</v>
      </c>
      <c r="I175" s="218" t="s">
        <v>74</v>
      </c>
      <c r="J175" s="218" t="s">
        <v>263</v>
      </c>
      <c r="K175" s="218" t="s">
        <v>264</v>
      </c>
      <c r="L175" s="218" t="s">
        <v>265</v>
      </c>
      <c r="M175" s="218" t="s">
        <v>266</v>
      </c>
      <c r="N175" s="218" t="s">
        <v>225</v>
      </c>
      <c r="O175" s="218" t="s">
        <v>228</v>
      </c>
      <c r="P175" s="218" t="s">
        <v>267</v>
      </c>
      <c r="Q175" s="218" t="s">
        <v>268</v>
      </c>
      <c r="R175" s="218"/>
      <c r="S175" s="311"/>
    </row>
    <row r="176" spans="1:19" ht="16.5" customHeight="1">
      <c r="A176" s="212"/>
      <c r="B176" s="213"/>
      <c r="C176" s="218"/>
      <c r="D176" s="218"/>
      <c r="E176" s="218" t="s">
        <v>269</v>
      </c>
      <c r="F176" s="219"/>
      <c r="G176" s="218"/>
      <c r="H176" s="218" t="s">
        <v>270</v>
      </c>
      <c r="I176" s="218" t="s">
        <v>242</v>
      </c>
      <c r="J176" s="218" t="s">
        <v>142</v>
      </c>
      <c r="K176" s="218" t="s">
        <v>271</v>
      </c>
      <c r="L176" s="218" t="s">
        <v>272</v>
      </c>
      <c r="M176" s="218" t="s">
        <v>273</v>
      </c>
      <c r="N176" s="218"/>
      <c r="O176" s="218" t="s">
        <v>274</v>
      </c>
      <c r="P176" s="218" t="s">
        <v>275</v>
      </c>
      <c r="Q176" s="218" t="s">
        <v>219</v>
      </c>
      <c r="R176" s="218"/>
      <c r="S176" s="311"/>
    </row>
    <row r="177" spans="1:19" ht="16.5" customHeight="1">
      <c r="A177" s="220" t="s">
        <v>276</v>
      </c>
      <c r="B177" s="221"/>
      <c r="C177" s="222" t="s">
        <v>277</v>
      </c>
      <c r="D177" s="222" t="s">
        <v>278</v>
      </c>
      <c r="E177" s="222" t="s">
        <v>279</v>
      </c>
      <c r="F177" s="222" t="s">
        <v>280</v>
      </c>
      <c r="G177" s="222" t="s">
        <v>281</v>
      </c>
      <c r="H177" s="222" t="s">
        <v>282</v>
      </c>
      <c r="I177" s="222" t="s">
        <v>283</v>
      </c>
      <c r="J177" s="222" t="s">
        <v>284</v>
      </c>
      <c r="K177" s="222" t="s">
        <v>285</v>
      </c>
      <c r="L177" s="222" t="s">
        <v>286</v>
      </c>
      <c r="M177" s="222" t="s">
        <v>287</v>
      </c>
      <c r="N177" s="222" t="s">
        <v>288</v>
      </c>
      <c r="O177" s="222" t="s">
        <v>289</v>
      </c>
      <c r="P177" s="222" t="s">
        <v>290</v>
      </c>
      <c r="Q177" s="222" t="s">
        <v>291</v>
      </c>
      <c r="R177" s="222" t="s">
        <v>292</v>
      </c>
      <c r="S177" s="312"/>
    </row>
    <row r="178" spans="1:19" ht="16.5" customHeight="1">
      <c r="A178" s="227" t="s">
        <v>315</v>
      </c>
      <c r="B178" s="228">
        <v>5220600</v>
      </c>
      <c r="C178" s="230">
        <v>0</v>
      </c>
      <c r="D178" s="230">
        <v>0</v>
      </c>
      <c r="E178" s="230"/>
      <c r="F178" s="229">
        <v>0</v>
      </c>
      <c r="G178" s="229"/>
      <c r="H178" s="229"/>
      <c r="I178" s="229"/>
      <c r="J178" s="230">
        <v>0</v>
      </c>
      <c r="K178" s="229"/>
      <c r="L178" s="229"/>
      <c r="M178" s="229"/>
      <c r="N178" s="229"/>
      <c r="O178" s="229"/>
      <c r="P178" s="229"/>
      <c r="Q178" s="229"/>
      <c r="R178" s="229"/>
      <c r="S178" s="229">
        <f>SUM(C178:R178)</f>
        <v>0</v>
      </c>
    </row>
    <row r="179" spans="1:19" ht="16.5" customHeight="1">
      <c r="A179" s="227" t="s">
        <v>316</v>
      </c>
      <c r="B179" s="228">
        <v>5220700</v>
      </c>
      <c r="C179" s="230">
        <v>660317.77</v>
      </c>
      <c r="D179" s="230">
        <v>273645</v>
      </c>
      <c r="E179" s="230"/>
      <c r="F179" s="229">
        <v>258199.58</v>
      </c>
      <c r="G179" s="229"/>
      <c r="H179" s="229"/>
      <c r="I179" s="229"/>
      <c r="J179" s="230">
        <v>425670.77</v>
      </c>
      <c r="K179" s="229"/>
      <c r="L179" s="229"/>
      <c r="M179" s="229"/>
      <c r="N179" s="229"/>
      <c r="O179" s="229"/>
      <c r="P179" s="229"/>
      <c r="Q179" s="229"/>
      <c r="R179" s="229"/>
      <c r="S179" s="229">
        <f>SUM(C179:R179)</f>
        <v>1617833.12</v>
      </c>
    </row>
    <row r="180" spans="1:19" ht="16.5" customHeight="1">
      <c r="A180" s="227" t="s">
        <v>317</v>
      </c>
      <c r="B180" s="228">
        <v>5220800</v>
      </c>
      <c r="C180" s="230">
        <v>84962.92</v>
      </c>
      <c r="D180" s="230">
        <v>37275</v>
      </c>
      <c r="E180" s="230"/>
      <c r="F180" s="229">
        <v>23051.25</v>
      </c>
      <c r="G180" s="229"/>
      <c r="H180" s="229"/>
      <c r="I180" s="229"/>
      <c r="J180" s="230">
        <v>48257.92</v>
      </c>
      <c r="K180" s="229"/>
      <c r="L180" s="229"/>
      <c r="M180" s="229"/>
      <c r="N180" s="229"/>
      <c r="O180" s="229"/>
      <c r="P180" s="229"/>
      <c r="Q180" s="229"/>
      <c r="R180" s="229"/>
      <c r="S180" s="229">
        <f>SUM(C180:R180)</f>
        <v>193547.08999999997</v>
      </c>
    </row>
    <row r="181" spans="1:19" ht="16.5" customHeight="1" thickBot="1">
      <c r="A181" s="252" t="s">
        <v>302</v>
      </c>
      <c r="B181" s="233"/>
      <c r="C181" s="253">
        <f aca="true" t="shared" si="19" ref="C181:P181">SUM(C168:C180)</f>
        <v>2831369.19</v>
      </c>
      <c r="D181" s="253">
        <f t="shared" si="19"/>
        <v>975515</v>
      </c>
      <c r="E181" s="253">
        <f t="shared" si="19"/>
        <v>0</v>
      </c>
      <c r="F181" s="253">
        <f t="shared" si="19"/>
        <v>1083350.83</v>
      </c>
      <c r="G181" s="253">
        <f t="shared" si="19"/>
        <v>0</v>
      </c>
      <c r="H181" s="253">
        <f t="shared" si="19"/>
        <v>0</v>
      </c>
      <c r="I181" s="253">
        <f t="shared" si="19"/>
        <v>0</v>
      </c>
      <c r="J181" s="253">
        <f t="shared" si="19"/>
        <v>1238568.69</v>
      </c>
      <c r="K181" s="253">
        <f t="shared" si="19"/>
        <v>0</v>
      </c>
      <c r="L181" s="253">
        <f t="shared" si="19"/>
        <v>0</v>
      </c>
      <c r="M181" s="253">
        <f t="shared" si="19"/>
        <v>0</v>
      </c>
      <c r="N181" s="253">
        <f t="shared" si="19"/>
        <v>0</v>
      </c>
      <c r="O181" s="253">
        <f t="shared" si="19"/>
        <v>0</v>
      </c>
      <c r="P181" s="253">
        <f t="shared" si="19"/>
        <v>0</v>
      </c>
      <c r="Q181" s="253"/>
      <c r="R181" s="253">
        <f>SUM(R168:R180)</f>
        <v>0</v>
      </c>
      <c r="S181" s="253">
        <f>SUM(S168:S180)</f>
        <v>6128803.71</v>
      </c>
    </row>
    <row r="182" spans="1:19" ht="16.5" customHeight="1" thickTop="1">
      <c r="A182" s="223" t="s">
        <v>99</v>
      </c>
      <c r="B182" s="224">
        <v>5310000</v>
      </c>
      <c r="C182" s="225"/>
      <c r="D182" s="225"/>
      <c r="E182" s="225"/>
      <c r="F182" s="225"/>
      <c r="G182" s="225"/>
      <c r="H182" s="225"/>
      <c r="I182" s="225"/>
      <c r="J182" s="225" t="s">
        <v>220</v>
      </c>
      <c r="K182" s="225"/>
      <c r="L182" s="225"/>
      <c r="M182" s="225"/>
      <c r="N182" s="225"/>
      <c r="O182" s="225"/>
      <c r="P182" s="225"/>
      <c r="Q182" s="225"/>
      <c r="R182" s="225"/>
      <c r="S182" s="225"/>
    </row>
    <row r="183" spans="1:19" ht="16.5" customHeight="1">
      <c r="A183" s="227" t="s">
        <v>318</v>
      </c>
      <c r="B183" s="228">
        <v>5310100</v>
      </c>
      <c r="C183" s="254">
        <v>163730</v>
      </c>
      <c r="D183" s="230">
        <f>100000+265000</f>
        <v>365000</v>
      </c>
      <c r="E183" s="230">
        <v>56500</v>
      </c>
      <c r="F183" s="230"/>
      <c r="G183" s="230"/>
      <c r="H183" s="230"/>
      <c r="I183" s="230"/>
      <c r="J183" s="230">
        <v>207093</v>
      </c>
      <c r="K183" s="230"/>
      <c r="L183" s="230"/>
      <c r="M183" s="230"/>
      <c r="N183" s="230"/>
      <c r="O183" s="230"/>
      <c r="P183" s="230"/>
      <c r="Q183" s="230"/>
      <c r="R183" s="229"/>
      <c r="S183" s="229">
        <f aca="true" t="shared" si="20" ref="S183:S188">SUM(C183:R183)</f>
        <v>792323</v>
      </c>
    </row>
    <row r="184" spans="1:19" ht="16.5" customHeight="1">
      <c r="A184" s="227" t="s">
        <v>319</v>
      </c>
      <c r="B184" s="228">
        <v>5310200</v>
      </c>
      <c r="C184" s="230">
        <v>10000</v>
      </c>
      <c r="D184" s="230"/>
      <c r="E184" s="230"/>
      <c r="F184" s="230"/>
      <c r="G184" s="230"/>
      <c r="H184" s="230"/>
      <c r="I184" s="230"/>
      <c r="J184" s="230">
        <v>0</v>
      </c>
      <c r="K184" s="230"/>
      <c r="L184" s="230"/>
      <c r="M184" s="230"/>
      <c r="N184" s="230"/>
      <c r="O184" s="230"/>
      <c r="P184" s="230"/>
      <c r="Q184" s="230"/>
      <c r="R184" s="229"/>
      <c r="S184" s="229">
        <f t="shared" si="20"/>
        <v>10000</v>
      </c>
    </row>
    <row r="185" spans="1:19" ht="16.5" customHeight="1">
      <c r="A185" s="227" t="s">
        <v>320</v>
      </c>
      <c r="B185" s="228">
        <v>5310300</v>
      </c>
      <c r="C185" s="230">
        <v>21600</v>
      </c>
      <c r="D185" s="230">
        <v>3000</v>
      </c>
      <c r="E185" s="230"/>
      <c r="F185" s="230"/>
      <c r="G185" s="230"/>
      <c r="H185" s="230"/>
      <c r="I185" s="230"/>
      <c r="J185" s="230">
        <v>5000</v>
      </c>
      <c r="K185" s="230"/>
      <c r="L185" s="230"/>
      <c r="M185" s="230"/>
      <c r="N185" s="230"/>
      <c r="O185" s="230"/>
      <c r="P185" s="230"/>
      <c r="Q185" s="230"/>
      <c r="R185" s="229"/>
      <c r="S185" s="229">
        <f t="shared" si="20"/>
        <v>29600</v>
      </c>
    </row>
    <row r="186" spans="1:19" ht="16.5" customHeight="1">
      <c r="A186" s="227" t="s">
        <v>321</v>
      </c>
      <c r="B186" s="228">
        <v>5310400</v>
      </c>
      <c r="C186" s="230">
        <v>111500</v>
      </c>
      <c r="D186" s="230">
        <v>51000</v>
      </c>
      <c r="E186" s="230"/>
      <c r="F186" s="230"/>
      <c r="G186" s="230"/>
      <c r="H186" s="230"/>
      <c r="I186" s="230"/>
      <c r="J186" s="230">
        <v>36000</v>
      </c>
      <c r="K186" s="230"/>
      <c r="L186" s="230"/>
      <c r="M186" s="230"/>
      <c r="N186" s="230"/>
      <c r="O186" s="230"/>
      <c r="P186" s="230"/>
      <c r="Q186" s="230"/>
      <c r="R186" s="229"/>
      <c r="S186" s="229">
        <f t="shared" si="20"/>
        <v>198500</v>
      </c>
    </row>
    <row r="187" spans="1:19" ht="16.5" customHeight="1">
      <c r="A187" s="227" t="s">
        <v>322</v>
      </c>
      <c r="B187" s="228">
        <v>5310500</v>
      </c>
      <c r="C187" s="230">
        <v>25000</v>
      </c>
      <c r="D187" s="230">
        <v>24200</v>
      </c>
      <c r="E187" s="230"/>
      <c r="F187" s="230">
        <v>21700</v>
      </c>
      <c r="G187" s="230"/>
      <c r="H187" s="230"/>
      <c r="I187" s="230"/>
      <c r="J187" s="230">
        <v>0</v>
      </c>
      <c r="K187" s="230"/>
      <c r="L187" s="230"/>
      <c r="M187" s="230"/>
      <c r="N187" s="230"/>
      <c r="O187" s="230"/>
      <c r="P187" s="230"/>
      <c r="Q187" s="230"/>
      <c r="R187" s="229"/>
      <c r="S187" s="229">
        <f t="shared" si="20"/>
        <v>70900</v>
      </c>
    </row>
    <row r="188" spans="1:19" ht="16.5" customHeight="1">
      <c r="A188" s="227" t="s">
        <v>323</v>
      </c>
      <c r="B188" s="228">
        <v>5310600</v>
      </c>
      <c r="C188" s="230"/>
      <c r="D188" s="230"/>
      <c r="E188" s="230"/>
      <c r="F188" s="230"/>
      <c r="G188" s="230"/>
      <c r="H188" s="230"/>
      <c r="I188" s="230"/>
      <c r="J188" s="230">
        <v>0</v>
      </c>
      <c r="K188" s="230"/>
      <c r="L188" s="230"/>
      <c r="M188" s="230"/>
      <c r="N188" s="230"/>
      <c r="O188" s="230"/>
      <c r="P188" s="230"/>
      <c r="Q188" s="230"/>
      <c r="R188" s="229"/>
      <c r="S188" s="229">
        <f t="shared" si="20"/>
        <v>0</v>
      </c>
    </row>
    <row r="189" spans="1:19" ht="16.5" customHeight="1" thickBot="1">
      <c r="A189" s="252" t="s">
        <v>302</v>
      </c>
      <c r="B189" s="233"/>
      <c r="C189" s="235">
        <f aca="true" t="shared" si="21" ref="C189:P189">SUM(C183:C188)</f>
        <v>331830</v>
      </c>
      <c r="D189" s="235">
        <f t="shared" si="21"/>
        <v>443200</v>
      </c>
      <c r="E189" s="235">
        <f t="shared" si="21"/>
        <v>56500</v>
      </c>
      <c r="F189" s="235">
        <f t="shared" si="21"/>
        <v>21700</v>
      </c>
      <c r="G189" s="235">
        <f t="shared" si="21"/>
        <v>0</v>
      </c>
      <c r="H189" s="235">
        <f t="shared" si="21"/>
        <v>0</v>
      </c>
      <c r="I189" s="235">
        <f t="shared" si="21"/>
        <v>0</v>
      </c>
      <c r="J189" s="235">
        <f t="shared" si="21"/>
        <v>248093</v>
      </c>
      <c r="K189" s="235">
        <f t="shared" si="21"/>
        <v>0</v>
      </c>
      <c r="L189" s="235">
        <f t="shared" si="21"/>
        <v>0</v>
      </c>
      <c r="M189" s="235">
        <f t="shared" si="21"/>
        <v>0</v>
      </c>
      <c r="N189" s="235">
        <f t="shared" si="21"/>
        <v>0</v>
      </c>
      <c r="O189" s="235">
        <f t="shared" si="21"/>
        <v>0</v>
      </c>
      <c r="P189" s="235">
        <f t="shared" si="21"/>
        <v>0</v>
      </c>
      <c r="Q189" s="235"/>
      <c r="R189" s="235">
        <f>SUM(R183:R188)</f>
        <v>0</v>
      </c>
      <c r="S189" s="234">
        <f>SUM(S183:S188)</f>
        <v>1101323</v>
      </c>
    </row>
    <row r="190" spans="1:19" ht="16.5" customHeight="1" thickTop="1">
      <c r="A190" s="223" t="s">
        <v>100</v>
      </c>
      <c r="B190" s="224">
        <v>5320000</v>
      </c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5"/>
      <c r="S190" s="225"/>
    </row>
    <row r="191" spans="1:19" ht="16.5" customHeight="1">
      <c r="A191" s="227" t="s">
        <v>324</v>
      </c>
      <c r="B191" s="228">
        <v>5320100</v>
      </c>
      <c r="C191" s="230">
        <v>176523</v>
      </c>
      <c r="D191" s="230">
        <v>50000</v>
      </c>
      <c r="E191" s="230"/>
      <c r="F191" s="230"/>
      <c r="G191" s="230"/>
      <c r="H191" s="230">
        <f>20000+140000</f>
        <v>160000</v>
      </c>
      <c r="I191" s="230"/>
      <c r="J191" s="230">
        <v>115100</v>
      </c>
      <c r="K191" s="230"/>
      <c r="L191" s="230"/>
      <c r="M191" s="230"/>
      <c r="N191" s="230"/>
      <c r="O191" s="230"/>
      <c r="P191" s="230"/>
      <c r="Q191" s="230"/>
      <c r="R191" s="229"/>
      <c r="S191" s="229">
        <f>SUM(C191:R191)</f>
        <v>501623</v>
      </c>
    </row>
    <row r="192" spans="1:19" ht="16.5" customHeight="1">
      <c r="A192" s="227" t="s">
        <v>325</v>
      </c>
      <c r="B192" s="228">
        <v>5320200</v>
      </c>
      <c r="C192" s="230">
        <v>23050</v>
      </c>
      <c r="D192" s="230"/>
      <c r="E192" s="230"/>
      <c r="F192" s="230"/>
      <c r="G192" s="230"/>
      <c r="H192" s="230"/>
      <c r="I192" s="230"/>
      <c r="J192" s="230">
        <v>0</v>
      </c>
      <c r="K192" s="230"/>
      <c r="L192" s="230"/>
      <c r="M192" s="230"/>
      <c r="N192" s="230"/>
      <c r="O192" s="230"/>
      <c r="P192" s="230"/>
      <c r="Q192" s="230"/>
      <c r="R192" s="229"/>
      <c r="S192" s="229">
        <f>SUM(C192:R192)</f>
        <v>23050</v>
      </c>
    </row>
    <row r="193" spans="1:19" ht="16.5" customHeight="1">
      <c r="A193" s="227" t="s">
        <v>326</v>
      </c>
      <c r="B193" s="228">
        <v>5320300</v>
      </c>
      <c r="C193" s="230">
        <f>182743+78650+400000+8800+50000+1639.55</f>
        <v>721832.55</v>
      </c>
      <c r="D193" s="230">
        <f>51710+76000+400000</f>
        <v>527710</v>
      </c>
      <c r="E193" s="230">
        <f>69600+0+11681+35000+30000</f>
        <v>146281</v>
      </c>
      <c r="F193" s="230">
        <f>140000+244800+47380</f>
        <v>432180</v>
      </c>
      <c r="G193" s="230">
        <f>23570+20000+248320</f>
        <v>291890</v>
      </c>
      <c r="H193" s="230">
        <f>20000+20000+100000+100000+50000</f>
        <v>290000</v>
      </c>
      <c r="I193" s="230">
        <f>20000+150000</f>
        <v>170000</v>
      </c>
      <c r="J193" s="230">
        <f>58260+50000+150000</f>
        <v>258260</v>
      </c>
      <c r="K193" s="230">
        <v>129381</v>
      </c>
      <c r="L193" s="230">
        <v>5000</v>
      </c>
      <c r="M193" s="230">
        <f>30000+10000+30000+20000+30000+30000+30000</f>
        <v>180000</v>
      </c>
      <c r="N193" s="230">
        <f>50000+200000</f>
        <v>250000</v>
      </c>
      <c r="O193" s="230">
        <f>50000+30000+61480+5707.21</f>
        <v>147187.21</v>
      </c>
      <c r="P193" s="230">
        <v>200000</v>
      </c>
      <c r="Q193" s="230"/>
      <c r="R193" s="229"/>
      <c r="S193" s="229">
        <f>SUM(C193:R193)</f>
        <v>3749721.76</v>
      </c>
    </row>
    <row r="194" spans="1:19" ht="16.5" customHeight="1">
      <c r="A194" s="227" t="s">
        <v>327</v>
      </c>
      <c r="B194" s="228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29"/>
      <c r="S194" s="229">
        <f>SUM(C194:R194)</f>
        <v>0</v>
      </c>
    </row>
    <row r="195" spans="1:19" ht="16.5" customHeight="1">
      <c r="A195" s="227" t="s">
        <v>328</v>
      </c>
      <c r="B195" s="228">
        <v>5320400</v>
      </c>
      <c r="C195" s="230">
        <v>198662.22</v>
      </c>
      <c r="D195" s="230">
        <v>23750</v>
      </c>
      <c r="E195" s="230">
        <v>0</v>
      </c>
      <c r="F195" s="230"/>
      <c r="G195" s="230"/>
      <c r="H195" s="230"/>
      <c r="I195" s="230"/>
      <c r="J195" s="230">
        <v>174330.49</v>
      </c>
      <c r="K195" s="230"/>
      <c r="L195" s="230"/>
      <c r="M195" s="230"/>
      <c r="N195" s="230"/>
      <c r="O195" s="230"/>
      <c r="P195" s="230"/>
      <c r="Q195" s="230"/>
      <c r="R195" s="229"/>
      <c r="S195" s="229">
        <f>SUM(C195:R195)</f>
        <v>396742.70999999996</v>
      </c>
    </row>
    <row r="196" spans="1:19" ht="16.5" customHeight="1" thickBot="1">
      <c r="A196" s="252" t="s">
        <v>302</v>
      </c>
      <c r="B196" s="233"/>
      <c r="C196" s="235">
        <f aca="true" t="shared" si="22" ref="C196:P196">SUM(C191:C195)</f>
        <v>1120067.77</v>
      </c>
      <c r="D196" s="235">
        <f t="shared" si="22"/>
        <v>601460</v>
      </c>
      <c r="E196" s="235">
        <f t="shared" si="22"/>
        <v>146281</v>
      </c>
      <c r="F196" s="235">
        <f t="shared" si="22"/>
        <v>432180</v>
      </c>
      <c r="G196" s="235">
        <f t="shared" si="22"/>
        <v>291890</v>
      </c>
      <c r="H196" s="235">
        <f t="shared" si="22"/>
        <v>450000</v>
      </c>
      <c r="I196" s="235">
        <f t="shared" si="22"/>
        <v>170000</v>
      </c>
      <c r="J196" s="235">
        <f t="shared" si="22"/>
        <v>547690.49</v>
      </c>
      <c r="K196" s="235">
        <f t="shared" si="22"/>
        <v>129381</v>
      </c>
      <c r="L196" s="235">
        <f t="shared" si="22"/>
        <v>5000</v>
      </c>
      <c r="M196" s="235">
        <f t="shared" si="22"/>
        <v>180000</v>
      </c>
      <c r="N196" s="235">
        <f t="shared" si="22"/>
        <v>250000</v>
      </c>
      <c r="O196" s="235">
        <f t="shared" si="22"/>
        <v>147187.21</v>
      </c>
      <c r="P196" s="235">
        <f t="shared" si="22"/>
        <v>200000</v>
      </c>
      <c r="Q196" s="235"/>
      <c r="R196" s="235">
        <f>SUM(R191:R195)</f>
        <v>0</v>
      </c>
      <c r="S196" s="234">
        <f>SUM(S191:S195)</f>
        <v>4671137.47</v>
      </c>
    </row>
    <row r="197" spans="1:19" ht="16.5" customHeight="1" thickTop="1">
      <c r="A197" s="223" t="s">
        <v>102</v>
      </c>
      <c r="B197" s="224">
        <v>5330000</v>
      </c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</row>
    <row r="198" spans="1:19" ht="16.5" customHeight="1">
      <c r="A198" s="227" t="s">
        <v>329</v>
      </c>
      <c r="B198" s="228">
        <v>5330100</v>
      </c>
      <c r="C198" s="230">
        <v>56889</v>
      </c>
      <c r="D198" s="230">
        <v>40068</v>
      </c>
      <c r="E198" s="230">
        <v>0</v>
      </c>
      <c r="F198" s="230"/>
      <c r="G198" s="230"/>
      <c r="H198" s="230"/>
      <c r="I198" s="230"/>
      <c r="J198" s="230">
        <v>40000</v>
      </c>
      <c r="K198" s="230"/>
      <c r="L198" s="230"/>
      <c r="M198" s="230"/>
      <c r="N198" s="230"/>
      <c r="O198" s="230"/>
      <c r="P198" s="230"/>
      <c r="Q198" s="230"/>
      <c r="R198" s="229"/>
      <c r="S198" s="229">
        <f aca="true" t="shared" si="23" ref="S198:S205">SUM(C198:R198)</f>
        <v>136957</v>
      </c>
    </row>
    <row r="199" spans="1:19" ht="16.5" customHeight="1">
      <c r="A199" s="227" t="s">
        <v>330</v>
      </c>
      <c r="B199" s="228">
        <v>5330200</v>
      </c>
      <c r="C199" s="230">
        <v>8850</v>
      </c>
      <c r="D199" s="230">
        <v>0</v>
      </c>
      <c r="E199" s="230">
        <v>0</v>
      </c>
      <c r="F199" s="230"/>
      <c r="G199" s="230"/>
      <c r="H199" s="230"/>
      <c r="I199" s="230"/>
      <c r="J199" s="230">
        <v>101220.94</v>
      </c>
      <c r="K199" s="230"/>
      <c r="L199" s="230"/>
      <c r="M199" s="230"/>
      <c r="N199" s="230"/>
      <c r="O199" s="230"/>
      <c r="P199" s="230"/>
      <c r="Q199" s="230"/>
      <c r="R199" s="229"/>
      <c r="S199" s="229">
        <f t="shared" si="23"/>
        <v>110070.94</v>
      </c>
    </row>
    <row r="200" spans="1:19" ht="16.5" customHeight="1">
      <c r="A200" s="227" t="s">
        <v>331</v>
      </c>
      <c r="B200" s="228">
        <v>5330300</v>
      </c>
      <c r="C200" s="230">
        <v>38776</v>
      </c>
      <c r="D200" s="230">
        <v>0</v>
      </c>
      <c r="E200" s="230">
        <v>0</v>
      </c>
      <c r="F200" s="230"/>
      <c r="G200" s="230"/>
      <c r="H200" s="230"/>
      <c r="I200" s="230"/>
      <c r="J200" s="230">
        <v>0</v>
      </c>
      <c r="K200" s="230"/>
      <c r="L200" s="230"/>
      <c r="M200" s="230"/>
      <c r="N200" s="230"/>
      <c r="O200" s="230"/>
      <c r="P200" s="230"/>
      <c r="Q200" s="230"/>
      <c r="R200" s="229"/>
      <c r="S200" s="229">
        <f t="shared" si="23"/>
        <v>38776</v>
      </c>
    </row>
    <row r="201" spans="1:19" ht="16.5" customHeight="1">
      <c r="A201" s="227" t="s">
        <v>332</v>
      </c>
      <c r="B201" s="228">
        <v>5330400</v>
      </c>
      <c r="C201" s="230">
        <v>0</v>
      </c>
      <c r="D201" s="230">
        <v>0</v>
      </c>
      <c r="E201" s="230">
        <v>0</v>
      </c>
      <c r="F201" s="230"/>
      <c r="G201" s="230">
        <f>1172708.6+278166.4</f>
        <v>1450875</v>
      </c>
      <c r="H201" s="230"/>
      <c r="I201" s="230"/>
      <c r="J201" s="230">
        <v>0</v>
      </c>
      <c r="K201" s="230"/>
      <c r="L201" s="230"/>
      <c r="M201" s="230"/>
      <c r="N201" s="230"/>
      <c r="O201" s="230"/>
      <c r="P201" s="230"/>
      <c r="Q201" s="230"/>
      <c r="R201" s="229"/>
      <c r="S201" s="229">
        <f t="shared" si="23"/>
        <v>1450875</v>
      </c>
    </row>
    <row r="202" spans="1:19" ht="16.5" customHeight="1">
      <c r="A202" s="227" t="s">
        <v>333</v>
      </c>
      <c r="B202" s="228">
        <v>5330500</v>
      </c>
      <c r="C202" s="230">
        <v>0</v>
      </c>
      <c r="D202" s="230">
        <v>0</v>
      </c>
      <c r="E202" s="230">
        <v>0</v>
      </c>
      <c r="F202" s="230"/>
      <c r="G202" s="230"/>
      <c r="H202" s="230"/>
      <c r="I202" s="230"/>
      <c r="J202" s="230">
        <v>0</v>
      </c>
      <c r="K202" s="230"/>
      <c r="L202" s="230"/>
      <c r="M202" s="230"/>
      <c r="N202" s="230"/>
      <c r="O202" s="230"/>
      <c r="P202" s="230"/>
      <c r="Q202" s="230"/>
      <c r="R202" s="229"/>
      <c r="S202" s="229">
        <f t="shared" si="23"/>
        <v>0</v>
      </c>
    </row>
    <row r="203" spans="1:19" ht="16.5" customHeight="1">
      <c r="A203" s="227" t="s">
        <v>334</v>
      </c>
      <c r="B203" s="228">
        <v>5330600</v>
      </c>
      <c r="C203" s="230">
        <v>36026.65</v>
      </c>
      <c r="D203" s="230">
        <v>0</v>
      </c>
      <c r="E203" s="230">
        <v>0</v>
      </c>
      <c r="F203" s="230"/>
      <c r="G203" s="230"/>
      <c r="H203" s="230"/>
      <c r="I203" s="230"/>
      <c r="J203" s="230">
        <v>456835.66</v>
      </c>
      <c r="K203" s="230"/>
      <c r="L203" s="230"/>
      <c r="M203" s="230"/>
      <c r="N203" s="230"/>
      <c r="O203" s="230"/>
      <c r="P203" s="230"/>
      <c r="Q203" s="230"/>
      <c r="R203" s="229"/>
      <c r="S203" s="229">
        <f t="shared" si="23"/>
        <v>492862.31</v>
      </c>
    </row>
    <row r="204" spans="1:19" ht="16.5" customHeight="1">
      <c r="A204" s="227" t="s">
        <v>335</v>
      </c>
      <c r="B204" s="228">
        <v>5330700</v>
      </c>
      <c r="C204" s="230">
        <v>26820</v>
      </c>
      <c r="D204" s="230">
        <v>3935</v>
      </c>
      <c r="E204" s="230">
        <v>0</v>
      </c>
      <c r="F204" s="230"/>
      <c r="G204" s="230"/>
      <c r="H204" s="230"/>
      <c r="I204" s="230"/>
      <c r="J204" s="230">
        <v>143152</v>
      </c>
      <c r="K204" s="230"/>
      <c r="L204" s="230"/>
      <c r="M204" s="230"/>
      <c r="N204" s="230"/>
      <c r="O204" s="230"/>
      <c r="P204" s="230"/>
      <c r="Q204" s="230"/>
      <c r="R204" s="229"/>
      <c r="S204" s="229">
        <f t="shared" si="23"/>
        <v>173907</v>
      </c>
    </row>
    <row r="205" spans="1:19" ht="16.5" customHeight="1">
      <c r="A205" s="227" t="s">
        <v>336</v>
      </c>
      <c r="B205" s="228">
        <v>5330800</v>
      </c>
      <c r="C205" s="230">
        <v>248086</v>
      </c>
      <c r="D205" s="230">
        <v>1600</v>
      </c>
      <c r="E205" s="230">
        <v>0</v>
      </c>
      <c r="F205" s="230"/>
      <c r="G205" s="230"/>
      <c r="H205" s="230"/>
      <c r="I205" s="230"/>
      <c r="J205" s="230">
        <v>510740</v>
      </c>
      <c r="K205" s="230"/>
      <c r="L205" s="230"/>
      <c r="M205" s="230"/>
      <c r="N205" s="230"/>
      <c r="O205" s="230"/>
      <c r="P205" s="230"/>
      <c r="Q205" s="230"/>
      <c r="R205" s="229"/>
      <c r="S205" s="229">
        <f t="shared" si="23"/>
        <v>760426</v>
      </c>
    </row>
    <row r="206" spans="1:19" ht="19.5" customHeight="1">
      <c r="A206" s="207"/>
      <c r="B206" s="207" t="s">
        <v>240</v>
      </c>
      <c r="C206" s="322" t="s">
        <v>22</v>
      </c>
      <c r="D206" s="323"/>
      <c r="E206" s="209" t="s">
        <v>241</v>
      </c>
      <c r="F206" s="322" t="s">
        <v>26</v>
      </c>
      <c r="G206" s="323"/>
      <c r="H206" s="210" t="s">
        <v>73</v>
      </c>
      <c r="I206" s="208" t="s">
        <v>242</v>
      </c>
      <c r="J206" s="322" t="s">
        <v>23</v>
      </c>
      <c r="K206" s="323"/>
      <c r="L206" s="322" t="s">
        <v>208</v>
      </c>
      <c r="M206" s="323"/>
      <c r="N206" s="322" t="s">
        <v>243</v>
      </c>
      <c r="O206" s="324"/>
      <c r="P206" s="323"/>
      <c r="Q206" s="211" t="s">
        <v>218</v>
      </c>
      <c r="R206" s="210" t="s">
        <v>157</v>
      </c>
      <c r="S206" s="310" t="s">
        <v>53</v>
      </c>
    </row>
    <row r="207" spans="1:19" ht="19.5" customHeight="1">
      <c r="A207" s="212"/>
      <c r="B207" s="213"/>
      <c r="C207" s="319" t="s">
        <v>244</v>
      </c>
      <c r="D207" s="320"/>
      <c r="E207" s="214" t="s">
        <v>245</v>
      </c>
      <c r="F207" s="319" t="s">
        <v>246</v>
      </c>
      <c r="G207" s="320"/>
      <c r="H207" s="216" t="s">
        <v>247</v>
      </c>
      <c r="I207" s="215" t="s">
        <v>248</v>
      </c>
      <c r="J207" s="319" t="s">
        <v>249</v>
      </c>
      <c r="K207" s="320"/>
      <c r="L207" s="319" t="s">
        <v>250</v>
      </c>
      <c r="M207" s="320"/>
      <c r="N207" s="319" t="s">
        <v>251</v>
      </c>
      <c r="O207" s="321"/>
      <c r="P207" s="320"/>
      <c r="Q207" s="215" t="s">
        <v>252</v>
      </c>
      <c r="R207" s="216" t="s">
        <v>253</v>
      </c>
      <c r="S207" s="311"/>
    </row>
    <row r="208" spans="1:19" ht="19.5" customHeight="1">
      <c r="A208" s="212"/>
      <c r="B208" s="213"/>
      <c r="C208" s="217" t="s">
        <v>21</v>
      </c>
      <c r="D208" s="217" t="s">
        <v>24</v>
      </c>
      <c r="E208" s="217" t="s">
        <v>21</v>
      </c>
      <c r="F208" s="217" t="s">
        <v>21</v>
      </c>
      <c r="G208" s="217" t="s">
        <v>27</v>
      </c>
      <c r="H208" s="217" t="s">
        <v>254</v>
      </c>
      <c r="I208" s="217" t="s">
        <v>255</v>
      </c>
      <c r="J208" s="217" t="s">
        <v>21</v>
      </c>
      <c r="K208" s="217" t="s">
        <v>256</v>
      </c>
      <c r="L208" s="217" t="s">
        <v>21</v>
      </c>
      <c r="M208" s="217" t="s">
        <v>257</v>
      </c>
      <c r="N208" s="217" t="s">
        <v>258</v>
      </c>
      <c r="O208" s="217" t="s">
        <v>259</v>
      </c>
      <c r="P208" s="217" t="s">
        <v>260</v>
      </c>
      <c r="Q208" s="217" t="s">
        <v>261</v>
      </c>
      <c r="R208" s="217" t="s">
        <v>157</v>
      </c>
      <c r="S208" s="311"/>
    </row>
    <row r="209" spans="1:19" ht="19.5" customHeight="1">
      <c r="A209" s="212"/>
      <c r="B209" s="213"/>
      <c r="C209" s="218"/>
      <c r="D209" s="218"/>
      <c r="E209" s="218" t="s">
        <v>262</v>
      </c>
      <c r="F209" s="218" t="s">
        <v>13</v>
      </c>
      <c r="G209" s="218" t="s">
        <v>111</v>
      </c>
      <c r="H209" s="218" t="s">
        <v>74</v>
      </c>
      <c r="I209" s="218" t="s">
        <v>74</v>
      </c>
      <c r="J209" s="218" t="s">
        <v>263</v>
      </c>
      <c r="K209" s="218" t="s">
        <v>264</v>
      </c>
      <c r="L209" s="218" t="s">
        <v>265</v>
      </c>
      <c r="M209" s="218" t="s">
        <v>266</v>
      </c>
      <c r="N209" s="218" t="s">
        <v>225</v>
      </c>
      <c r="O209" s="218" t="s">
        <v>228</v>
      </c>
      <c r="P209" s="218" t="s">
        <v>267</v>
      </c>
      <c r="Q209" s="218" t="s">
        <v>268</v>
      </c>
      <c r="R209" s="218"/>
      <c r="S209" s="311"/>
    </row>
    <row r="210" spans="1:19" ht="19.5" customHeight="1">
      <c r="A210" s="212"/>
      <c r="B210" s="213"/>
      <c r="C210" s="218"/>
      <c r="D210" s="218"/>
      <c r="E210" s="218" t="s">
        <v>269</v>
      </c>
      <c r="F210" s="219"/>
      <c r="G210" s="218"/>
      <c r="H210" s="218" t="s">
        <v>270</v>
      </c>
      <c r="I210" s="218" t="s">
        <v>242</v>
      </c>
      <c r="J210" s="218" t="s">
        <v>142</v>
      </c>
      <c r="K210" s="218" t="s">
        <v>271</v>
      </c>
      <c r="L210" s="218" t="s">
        <v>272</v>
      </c>
      <c r="M210" s="218" t="s">
        <v>273</v>
      </c>
      <c r="N210" s="218"/>
      <c r="O210" s="218" t="s">
        <v>274</v>
      </c>
      <c r="P210" s="218" t="s">
        <v>275</v>
      </c>
      <c r="Q210" s="218" t="s">
        <v>219</v>
      </c>
      <c r="R210" s="218"/>
      <c r="S210" s="311"/>
    </row>
    <row r="211" spans="1:19" ht="19.5" customHeight="1">
      <c r="A211" s="220" t="s">
        <v>276</v>
      </c>
      <c r="B211" s="221"/>
      <c r="C211" s="222" t="s">
        <v>277</v>
      </c>
      <c r="D211" s="222" t="s">
        <v>278</v>
      </c>
      <c r="E211" s="222" t="s">
        <v>279</v>
      </c>
      <c r="F211" s="222" t="s">
        <v>280</v>
      </c>
      <c r="G211" s="222" t="s">
        <v>281</v>
      </c>
      <c r="H211" s="222" t="s">
        <v>282</v>
      </c>
      <c r="I211" s="222" t="s">
        <v>283</v>
      </c>
      <c r="J211" s="222" t="s">
        <v>284</v>
      </c>
      <c r="K211" s="222" t="s">
        <v>285</v>
      </c>
      <c r="L211" s="222" t="s">
        <v>286</v>
      </c>
      <c r="M211" s="222" t="s">
        <v>287</v>
      </c>
      <c r="N211" s="222" t="s">
        <v>288</v>
      </c>
      <c r="O211" s="222" t="s">
        <v>289</v>
      </c>
      <c r="P211" s="222" t="s">
        <v>290</v>
      </c>
      <c r="Q211" s="222" t="s">
        <v>291</v>
      </c>
      <c r="R211" s="222" t="s">
        <v>292</v>
      </c>
      <c r="S211" s="312"/>
    </row>
    <row r="212" spans="1:19" ht="15.75" customHeight="1">
      <c r="A212" s="227" t="s">
        <v>337</v>
      </c>
      <c r="B212" s="228">
        <v>5330900</v>
      </c>
      <c r="C212" s="230">
        <v>0</v>
      </c>
      <c r="D212" s="230">
        <v>0</v>
      </c>
      <c r="E212" s="230">
        <v>0</v>
      </c>
      <c r="F212" s="230"/>
      <c r="G212" s="230"/>
      <c r="H212" s="230">
        <v>26970</v>
      </c>
      <c r="I212" s="230"/>
      <c r="J212" s="230">
        <v>8000</v>
      </c>
      <c r="K212" s="230"/>
      <c r="L212" s="230"/>
      <c r="M212" s="230"/>
      <c r="N212" s="230"/>
      <c r="O212" s="230"/>
      <c r="P212" s="230"/>
      <c r="Q212" s="230"/>
      <c r="R212" s="229"/>
      <c r="S212" s="229">
        <f aca="true" t="shared" si="24" ref="S212:S218">SUM(C212:R212)</f>
        <v>34970</v>
      </c>
    </row>
    <row r="213" spans="1:19" ht="15.75" customHeight="1">
      <c r="A213" s="227" t="s">
        <v>338</v>
      </c>
      <c r="B213" s="228">
        <v>5331000</v>
      </c>
      <c r="C213" s="230">
        <v>18790.9</v>
      </c>
      <c r="D213" s="230">
        <v>0</v>
      </c>
      <c r="E213" s="230">
        <v>0</v>
      </c>
      <c r="F213" s="230"/>
      <c r="G213" s="230"/>
      <c r="H213" s="230"/>
      <c r="I213" s="230"/>
      <c r="J213" s="230">
        <v>0</v>
      </c>
      <c r="K213" s="230"/>
      <c r="L213" s="230"/>
      <c r="M213" s="230"/>
      <c r="N213" s="230"/>
      <c r="O213" s="230"/>
      <c r="P213" s="230"/>
      <c r="Q213" s="230"/>
      <c r="R213" s="229"/>
      <c r="S213" s="229">
        <f t="shared" si="24"/>
        <v>18790.9</v>
      </c>
    </row>
    <row r="214" spans="1:19" ht="15.75" customHeight="1">
      <c r="A214" s="227" t="s">
        <v>339</v>
      </c>
      <c r="B214" s="228">
        <v>5331100</v>
      </c>
      <c r="C214" s="230">
        <v>10000</v>
      </c>
      <c r="D214" s="230">
        <v>0</v>
      </c>
      <c r="E214" s="230">
        <v>0</v>
      </c>
      <c r="F214" s="230"/>
      <c r="G214" s="230"/>
      <c r="H214" s="230"/>
      <c r="I214" s="230"/>
      <c r="J214" s="230">
        <v>0</v>
      </c>
      <c r="K214" s="230"/>
      <c r="L214" s="230"/>
      <c r="M214" s="230"/>
      <c r="N214" s="230"/>
      <c r="O214" s="230"/>
      <c r="P214" s="230"/>
      <c r="Q214" s="230"/>
      <c r="R214" s="229"/>
      <c r="S214" s="229">
        <f t="shared" si="24"/>
        <v>10000</v>
      </c>
    </row>
    <row r="215" spans="1:19" ht="15.75" customHeight="1">
      <c r="A215" s="227" t="s">
        <v>340</v>
      </c>
      <c r="B215" s="228">
        <v>5331200</v>
      </c>
      <c r="C215" s="230">
        <v>0</v>
      </c>
      <c r="D215" s="230">
        <v>0</v>
      </c>
      <c r="E215" s="230">
        <v>50000</v>
      </c>
      <c r="F215" s="230"/>
      <c r="G215" s="230"/>
      <c r="H215" s="230"/>
      <c r="I215" s="230"/>
      <c r="J215" s="230">
        <v>0</v>
      </c>
      <c r="K215" s="230">
        <v>25900</v>
      </c>
      <c r="L215" s="230"/>
      <c r="M215" s="230"/>
      <c r="N215" s="230"/>
      <c r="O215" s="230"/>
      <c r="P215" s="230"/>
      <c r="Q215" s="230"/>
      <c r="R215" s="229"/>
      <c r="S215" s="229">
        <f t="shared" si="24"/>
        <v>75900</v>
      </c>
    </row>
    <row r="216" spans="1:19" ht="15.75" customHeight="1">
      <c r="A216" s="227" t="s">
        <v>341</v>
      </c>
      <c r="B216" s="228">
        <v>5331400</v>
      </c>
      <c r="C216" s="230">
        <v>60510</v>
      </c>
      <c r="D216" s="230">
        <v>49780</v>
      </c>
      <c r="E216" s="230">
        <v>0</v>
      </c>
      <c r="F216" s="230"/>
      <c r="G216" s="230"/>
      <c r="H216" s="230"/>
      <c r="I216" s="230"/>
      <c r="J216" s="230">
        <v>44950</v>
      </c>
      <c r="K216" s="230"/>
      <c r="L216" s="230"/>
      <c r="M216" s="230"/>
      <c r="N216" s="230"/>
      <c r="O216" s="230"/>
      <c r="P216" s="230"/>
      <c r="Q216" s="230"/>
      <c r="R216" s="229"/>
      <c r="S216" s="229">
        <f t="shared" si="24"/>
        <v>155240</v>
      </c>
    </row>
    <row r="217" spans="1:19" ht="15.75" customHeight="1">
      <c r="A217" s="227" t="s">
        <v>372</v>
      </c>
      <c r="B217" s="228">
        <v>5331600</v>
      </c>
      <c r="C217" s="230"/>
      <c r="D217" s="230"/>
      <c r="E217" s="230">
        <v>20000</v>
      </c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29"/>
      <c r="S217" s="229">
        <f t="shared" si="24"/>
        <v>20000</v>
      </c>
    </row>
    <row r="218" spans="1:19" ht="15.75" customHeight="1">
      <c r="A218" s="227" t="s">
        <v>342</v>
      </c>
      <c r="B218" s="228">
        <v>5332000</v>
      </c>
      <c r="C218" s="230">
        <v>0</v>
      </c>
      <c r="D218" s="230">
        <v>0</v>
      </c>
      <c r="E218" s="230">
        <v>0</v>
      </c>
      <c r="F218" s="230"/>
      <c r="G218" s="230"/>
      <c r="H218" s="230"/>
      <c r="I218" s="230"/>
      <c r="J218" s="230">
        <v>49176.1</v>
      </c>
      <c r="K218" s="230"/>
      <c r="L218" s="230"/>
      <c r="M218" s="230"/>
      <c r="N218" s="230"/>
      <c r="O218" s="230"/>
      <c r="P218" s="230"/>
      <c r="Q218" s="230"/>
      <c r="R218" s="229"/>
      <c r="S218" s="229">
        <f t="shared" si="24"/>
        <v>49176.1</v>
      </c>
    </row>
    <row r="219" spans="1:19" ht="15.75" customHeight="1" thickBot="1">
      <c r="A219" s="252" t="s">
        <v>302</v>
      </c>
      <c r="B219" s="233"/>
      <c r="C219" s="235">
        <f aca="true" t="shared" si="25" ref="C219:P219">SUM(C198:C218)</f>
        <v>504748.55000000005</v>
      </c>
      <c r="D219" s="235">
        <f t="shared" si="25"/>
        <v>95383</v>
      </c>
      <c r="E219" s="235">
        <f t="shared" si="25"/>
        <v>70000</v>
      </c>
      <c r="F219" s="235">
        <f t="shared" si="25"/>
        <v>0</v>
      </c>
      <c r="G219" s="235">
        <f t="shared" si="25"/>
        <v>1450875</v>
      </c>
      <c r="H219" s="235">
        <f t="shared" si="25"/>
        <v>26970</v>
      </c>
      <c r="I219" s="235">
        <f t="shared" si="25"/>
        <v>0</v>
      </c>
      <c r="J219" s="235">
        <f t="shared" si="25"/>
        <v>1354074.7000000002</v>
      </c>
      <c r="K219" s="235">
        <f t="shared" si="25"/>
        <v>25900</v>
      </c>
      <c r="L219" s="235">
        <f t="shared" si="25"/>
        <v>0</v>
      </c>
      <c r="M219" s="235">
        <f t="shared" si="25"/>
        <v>0</v>
      </c>
      <c r="N219" s="235">
        <f t="shared" si="25"/>
        <v>0</v>
      </c>
      <c r="O219" s="235">
        <f t="shared" si="25"/>
        <v>0</v>
      </c>
      <c r="P219" s="235">
        <f t="shared" si="25"/>
        <v>0</v>
      </c>
      <c r="Q219" s="235"/>
      <c r="R219" s="235">
        <f>SUM(R198:R218)</f>
        <v>0</v>
      </c>
      <c r="S219" s="234">
        <f>SUM(S198:S218)</f>
        <v>3527951.25</v>
      </c>
    </row>
    <row r="220" spans="1:19" ht="15.75" customHeight="1" thickTop="1">
      <c r="A220" s="223" t="s">
        <v>103</v>
      </c>
      <c r="B220" s="224">
        <v>5340000</v>
      </c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</row>
    <row r="221" spans="1:19" ht="15.75" customHeight="1">
      <c r="A221" s="227" t="s">
        <v>343</v>
      </c>
      <c r="B221" s="228">
        <v>5340100</v>
      </c>
      <c r="C221" s="230">
        <v>300868.65</v>
      </c>
      <c r="D221" s="230">
        <v>0</v>
      </c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29"/>
      <c r="S221" s="229">
        <f>SUM(C221:R221)</f>
        <v>300868.65</v>
      </c>
    </row>
    <row r="222" spans="1:19" ht="15.75" customHeight="1">
      <c r="A222" s="227" t="s">
        <v>344</v>
      </c>
      <c r="B222" s="228">
        <v>5340200</v>
      </c>
      <c r="C222" s="230">
        <v>8651.8</v>
      </c>
      <c r="D222" s="230">
        <v>0</v>
      </c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29"/>
      <c r="S222" s="229">
        <f>SUM(C222:R222)</f>
        <v>8651.8</v>
      </c>
    </row>
    <row r="223" spans="1:19" ht="15.75" customHeight="1">
      <c r="A223" s="227" t="s">
        <v>345</v>
      </c>
      <c r="B223" s="228">
        <v>5340300</v>
      </c>
      <c r="C223" s="230">
        <v>12934.34</v>
      </c>
      <c r="D223" s="230">
        <v>0</v>
      </c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29"/>
      <c r="S223" s="229">
        <f>SUM(C223:R223)</f>
        <v>12934.34</v>
      </c>
    </row>
    <row r="224" spans="1:19" ht="15.75" customHeight="1">
      <c r="A224" s="227" t="s">
        <v>346</v>
      </c>
      <c r="B224" s="228">
        <v>5340400</v>
      </c>
      <c r="C224" s="230">
        <v>15355</v>
      </c>
      <c r="D224" s="230">
        <v>2000</v>
      </c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29"/>
      <c r="S224" s="229">
        <f>SUM(C224:R224)</f>
        <v>17355</v>
      </c>
    </row>
    <row r="225" spans="1:19" ht="15.75" customHeight="1">
      <c r="A225" s="227" t="s">
        <v>347</v>
      </c>
      <c r="B225" s="228">
        <v>5340500</v>
      </c>
      <c r="C225" s="230">
        <v>101068.9</v>
      </c>
      <c r="D225" s="230">
        <v>0</v>
      </c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29"/>
      <c r="S225" s="229">
        <f>SUM(C225:R225)</f>
        <v>101068.9</v>
      </c>
    </row>
    <row r="226" spans="1:19" ht="15.75" customHeight="1" thickBot="1">
      <c r="A226" s="252" t="s">
        <v>302</v>
      </c>
      <c r="B226" s="233"/>
      <c r="C226" s="235">
        <f aca="true" t="shared" si="26" ref="C226:P226">SUM(C221:C225)</f>
        <v>438878.69000000006</v>
      </c>
      <c r="D226" s="235">
        <f t="shared" si="26"/>
        <v>2000</v>
      </c>
      <c r="E226" s="235">
        <f t="shared" si="26"/>
        <v>0</v>
      </c>
      <c r="F226" s="235">
        <f t="shared" si="26"/>
        <v>0</v>
      </c>
      <c r="G226" s="235">
        <f t="shared" si="26"/>
        <v>0</v>
      </c>
      <c r="H226" s="235">
        <f t="shared" si="26"/>
        <v>0</v>
      </c>
      <c r="I226" s="235">
        <f t="shared" si="26"/>
        <v>0</v>
      </c>
      <c r="J226" s="235">
        <f t="shared" si="26"/>
        <v>0</v>
      </c>
      <c r="K226" s="235">
        <f t="shared" si="26"/>
        <v>0</v>
      </c>
      <c r="L226" s="235">
        <f t="shared" si="26"/>
        <v>0</v>
      </c>
      <c r="M226" s="235">
        <f t="shared" si="26"/>
        <v>0</v>
      </c>
      <c r="N226" s="235">
        <f t="shared" si="26"/>
        <v>0</v>
      </c>
      <c r="O226" s="235">
        <f t="shared" si="26"/>
        <v>0</v>
      </c>
      <c r="P226" s="235">
        <f t="shared" si="26"/>
        <v>0</v>
      </c>
      <c r="Q226" s="235"/>
      <c r="R226" s="235">
        <f>SUM(R221:R225)</f>
        <v>0</v>
      </c>
      <c r="S226" s="234">
        <f>SUM(S221:S225)</f>
        <v>440878.69000000006</v>
      </c>
    </row>
    <row r="227" spans="1:19" ht="15.75" customHeight="1" thickTop="1">
      <c r="A227" s="223" t="s">
        <v>169</v>
      </c>
      <c r="B227" s="224">
        <v>5410000</v>
      </c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</row>
    <row r="228" spans="1:19" ht="15.75" customHeight="1">
      <c r="A228" s="227" t="s">
        <v>348</v>
      </c>
      <c r="B228" s="228">
        <v>5410100</v>
      </c>
      <c r="C228" s="230"/>
      <c r="D228" s="230">
        <f>0+70800+500+0</f>
        <v>71300</v>
      </c>
      <c r="E228" s="230"/>
      <c r="F228" s="230">
        <v>150000</v>
      </c>
      <c r="G228" s="230"/>
      <c r="H228" s="230"/>
      <c r="I228" s="230"/>
      <c r="J228" s="230">
        <f>0+200</f>
        <v>200</v>
      </c>
      <c r="K228" s="230"/>
      <c r="L228" s="230"/>
      <c r="M228" s="230"/>
      <c r="N228" s="230"/>
      <c r="O228" s="230"/>
      <c r="P228" s="230"/>
      <c r="Q228" s="230"/>
      <c r="R228" s="229"/>
      <c r="S228" s="229">
        <f aca="true" t="shared" si="27" ref="S228:S239">SUM(C228:R228)</f>
        <v>221500</v>
      </c>
    </row>
    <row r="229" spans="1:19" ht="15.75" customHeight="1">
      <c r="A229" s="227" t="s">
        <v>349</v>
      </c>
      <c r="B229" s="228">
        <v>5410300</v>
      </c>
      <c r="C229" s="230"/>
      <c r="D229" s="230">
        <v>0</v>
      </c>
      <c r="E229" s="230"/>
      <c r="F229" s="230"/>
      <c r="G229" s="230"/>
      <c r="H229" s="230"/>
      <c r="I229" s="230"/>
      <c r="J229" s="230">
        <v>957000</v>
      </c>
      <c r="K229" s="230"/>
      <c r="L229" s="230"/>
      <c r="M229" s="230"/>
      <c r="N229" s="230"/>
      <c r="O229" s="230"/>
      <c r="P229" s="230"/>
      <c r="Q229" s="230"/>
      <c r="R229" s="229"/>
      <c r="S229" s="229">
        <f t="shared" si="27"/>
        <v>957000</v>
      </c>
    </row>
    <row r="230" spans="1:19" ht="15.75" customHeight="1">
      <c r="A230" s="227" t="s">
        <v>350</v>
      </c>
      <c r="B230" s="228">
        <v>5410400</v>
      </c>
      <c r="C230" s="230"/>
      <c r="D230" s="230">
        <v>0</v>
      </c>
      <c r="E230" s="230"/>
      <c r="F230" s="230"/>
      <c r="G230" s="230"/>
      <c r="H230" s="230"/>
      <c r="I230" s="230"/>
      <c r="J230" s="230">
        <v>0</v>
      </c>
      <c r="K230" s="230"/>
      <c r="L230" s="230"/>
      <c r="M230" s="230"/>
      <c r="N230" s="230"/>
      <c r="O230" s="230"/>
      <c r="P230" s="230"/>
      <c r="Q230" s="230"/>
      <c r="R230" s="229"/>
      <c r="S230" s="229">
        <f t="shared" si="27"/>
        <v>0</v>
      </c>
    </row>
    <row r="231" spans="1:19" ht="15.75" customHeight="1">
      <c r="A231" s="227" t="s">
        <v>351</v>
      </c>
      <c r="B231" s="228">
        <v>5410500</v>
      </c>
      <c r="C231" s="230"/>
      <c r="D231" s="230">
        <v>0</v>
      </c>
      <c r="E231" s="230"/>
      <c r="F231" s="230"/>
      <c r="G231" s="230"/>
      <c r="H231" s="230"/>
      <c r="I231" s="230"/>
      <c r="J231" s="230">
        <v>0</v>
      </c>
      <c r="K231" s="230"/>
      <c r="L231" s="230"/>
      <c r="M231" s="230"/>
      <c r="N231" s="230"/>
      <c r="O231" s="230"/>
      <c r="P231" s="230"/>
      <c r="Q231" s="230"/>
      <c r="R231" s="229"/>
      <c r="S231" s="229">
        <f t="shared" si="27"/>
        <v>0</v>
      </c>
    </row>
    <row r="232" spans="1:19" ht="15.75" customHeight="1">
      <c r="A232" s="227" t="s">
        <v>352</v>
      </c>
      <c r="B232" s="228">
        <v>5410600</v>
      </c>
      <c r="C232" s="230"/>
      <c r="D232" s="230">
        <v>0</v>
      </c>
      <c r="E232" s="230"/>
      <c r="F232" s="230"/>
      <c r="G232" s="230"/>
      <c r="H232" s="230"/>
      <c r="I232" s="230"/>
      <c r="J232" s="230">
        <v>0</v>
      </c>
      <c r="K232" s="230"/>
      <c r="L232" s="230"/>
      <c r="M232" s="230"/>
      <c r="N232" s="230"/>
      <c r="O232" s="230"/>
      <c r="P232" s="230"/>
      <c r="Q232" s="230"/>
      <c r="R232" s="229"/>
      <c r="S232" s="229">
        <f t="shared" si="27"/>
        <v>0</v>
      </c>
    </row>
    <row r="233" spans="1:19" ht="15.75" customHeight="1">
      <c r="A233" s="227" t="s">
        <v>353</v>
      </c>
      <c r="B233" s="228">
        <v>5410700</v>
      </c>
      <c r="C233" s="230"/>
      <c r="D233" s="230">
        <v>0</v>
      </c>
      <c r="E233" s="230"/>
      <c r="F233" s="230"/>
      <c r="G233" s="230"/>
      <c r="H233" s="230"/>
      <c r="I233" s="230"/>
      <c r="J233" s="230">
        <v>20000</v>
      </c>
      <c r="K233" s="230"/>
      <c r="L233" s="230"/>
      <c r="M233" s="230"/>
      <c r="N233" s="230"/>
      <c r="O233" s="230"/>
      <c r="P233" s="230"/>
      <c r="Q233" s="230"/>
      <c r="R233" s="229"/>
      <c r="S233" s="229">
        <f t="shared" si="27"/>
        <v>20000</v>
      </c>
    </row>
    <row r="234" spans="1:19" ht="15.75" customHeight="1">
      <c r="A234" s="227" t="s">
        <v>354</v>
      </c>
      <c r="B234" s="228">
        <v>5410900</v>
      </c>
      <c r="C234" s="230"/>
      <c r="D234" s="230">
        <v>0</v>
      </c>
      <c r="E234" s="230"/>
      <c r="F234" s="230"/>
      <c r="G234" s="230"/>
      <c r="H234" s="230"/>
      <c r="I234" s="230"/>
      <c r="J234" s="230">
        <v>0</v>
      </c>
      <c r="K234" s="230"/>
      <c r="L234" s="230"/>
      <c r="M234" s="230"/>
      <c r="N234" s="230"/>
      <c r="O234" s="230"/>
      <c r="P234" s="230"/>
      <c r="Q234" s="230"/>
      <c r="R234" s="229"/>
      <c r="S234" s="229">
        <f t="shared" si="27"/>
        <v>0</v>
      </c>
    </row>
    <row r="235" spans="1:19" ht="15.75" customHeight="1">
      <c r="A235" s="227" t="s">
        <v>355</v>
      </c>
      <c r="B235" s="228">
        <v>5411000</v>
      </c>
      <c r="C235" s="230"/>
      <c r="D235" s="230">
        <v>0</v>
      </c>
      <c r="E235" s="230"/>
      <c r="F235" s="230"/>
      <c r="G235" s="230"/>
      <c r="H235" s="230"/>
      <c r="I235" s="230"/>
      <c r="J235" s="230">
        <v>0</v>
      </c>
      <c r="K235" s="230"/>
      <c r="L235" s="230"/>
      <c r="M235" s="230"/>
      <c r="N235" s="230"/>
      <c r="O235" s="230"/>
      <c r="P235" s="230"/>
      <c r="Q235" s="230"/>
      <c r="R235" s="229"/>
      <c r="S235" s="229">
        <f t="shared" si="27"/>
        <v>0</v>
      </c>
    </row>
    <row r="236" spans="1:19" ht="15.75" customHeight="1">
      <c r="A236" s="227" t="s">
        <v>356</v>
      </c>
      <c r="B236" s="228">
        <v>5411100</v>
      </c>
      <c r="C236" s="230"/>
      <c r="D236" s="230">
        <v>0</v>
      </c>
      <c r="E236" s="230"/>
      <c r="F236" s="230"/>
      <c r="G236" s="230"/>
      <c r="H236" s="230"/>
      <c r="I236" s="230"/>
      <c r="J236" s="230">
        <v>0</v>
      </c>
      <c r="K236" s="230"/>
      <c r="L236" s="230"/>
      <c r="M236" s="230"/>
      <c r="N236" s="230"/>
      <c r="O236" s="230"/>
      <c r="P236" s="230"/>
      <c r="Q236" s="230"/>
      <c r="R236" s="229"/>
      <c r="S236" s="229">
        <f t="shared" si="27"/>
        <v>0</v>
      </c>
    </row>
    <row r="237" spans="1:19" ht="15.75" customHeight="1">
      <c r="A237" s="227" t="s">
        <v>357</v>
      </c>
      <c r="B237" s="228">
        <v>5411300</v>
      </c>
      <c r="C237" s="230"/>
      <c r="D237" s="230">
        <v>0</v>
      </c>
      <c r="E237" s="230"/>
      <c r="F237" s="230"/>
      <c r="G237" s="230"/>
      <c r="H237" s="230"/>
      <c r="I237" s="230"/>
      <c r="J237" s="230">
        <v>0</v>
      </c>
      <c r="K237" s="230"/>
      <c r="L237" s="230"/>
      <c r="M237" s="230"/>
      <c r="N237" s="230"/>
      <c r="O237" s="230"/>
      <c r="P237" s="230"/>
      <c r="Q237" s="230"/>
      <c r="R237" s="229"/>
      <c r="S237" s="229">
        <f t="shared" si="27"/>
        <v>0</v>
      </c>
    </row>
    <row r="238" spans="1:19" ht="15.75" customHeight="1">
      <c r="A238" s="227" t="s">
        <v>358</v>
      </c>
      <c r="B238" s="228">
        <v>5411600</v>
      </c>
      <c r="C238" s="230"/>
      <c r="D238" s="230">
        <f>16000+26500+29000</f>
        <v>71500</v>
      </c>
      <c r="E238" s="230"/>
      <c r="F238" s="230"/>
      <c r="G238" s="230"/>
      <c r="H238" s="230"/>
      <c r="I238" s="230"/>
      <c r="J238" s="230">
        <f>29000+3200</f>
        <v>32200</v>
      </c>
      <c r="K238" s="230"/>
      <c r="L238" s="230"/>
      <c r="M238" s="230"/>
      <c r="N238" s="230"/>
      <c r="O238" s="230"/>
      <c r="P238" s="230"/>
      <c r="Q238" s="230"/>
      <c r="R238" s="229"/>
      <c r="S238" s="229">
        <f t="shared" si="27"/>
        <v>103700</v>
      </c>
    </row>
    <row r="239" spans="1:19" ht="15.75" customHeight="1">
      <c r="A239" s="227" t="s">
        <v>373</v>
      </c>
      <c r="B239" s="228">
        <v>5411700</v>
      </c>
      <c r="C239" s="230">
        <v>800</v>
      </c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29"/>
      <c r="S239" s="229">
        <f t="shared" si="27"/>
        <v>800</v>
      </c>
    </row>
    <row r="240" spans="1:19" ht="16.5" customHeight="1">
      <c r="A240" s="255"/>
      <c r="B240" s="243"/>
      <c r="C240" s="244"/>
      <c r="D240" s="244"/>
      <c r="E240" s="244"/>
      <c r="F240" s="244"/>
      <c r="G240" s="244"/>
      <c r="H240" s="244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5"/>
    </row>
    <row r="241" spans="1:19" ht="16.5" customHeight="1">
      <c r="A241" s="207"/>
      <c r="B241" s="207" t="s">
        <v>240</v>
      </c>
      <c r="C241" s="322" t="s">
        <v>22</v>
      </c>
      <c r="D241" s="323"/>
      <c r="E241" s="209" t="s">
        <v>241</v>
      </c>
      <c r="F241" s="322" t="s">
        <v>26</v>
      </c>
      <c r="G241" s="323"/>
      <c r="H241" s="210" t="s">
        <v>73</v>
      </c>
      <c r="I241" s="208" t="s">
        <v>242</v>
      </c>
      <c r="J241" s="322" t="s">
        <v>23</v>
      </c>
      <c r="K241" s="323"/>
      <c r="L241" s="322" t="s">
        <v>208</v>
      </c>
      <c r="M241" s="323"/>
      <c r="N241" s="322" t="s">
        <v>243</v>
      </c>
      <c r="O241" s="324"/>
      <c r="P241" s="323"/>
      <c r="Q241" s="211" t="s">
        <v>218</v>
      </c>
      <c r="R241" s="210" t="s">
        <v>157</v>
      </c>
      <c r="S241" s="310" t="s">
        <v>53</v>
      </c>
    </row>
    <row r="242" spans="1:19" ht="16.5" customHeight="1">
      <c r="A242" s="212"/>
      <c r="B242" s="213"/>
      <c r="C242" s="319" t="s">
        <v>244</v>
      </c>
      <c r="D242" s="320"/>
      <c r="E242" s="214" t="s">
        <v>245</v>
      </c>
      <c r="F242" s="319" t="s">
        <v>246</v>
      </c>
      <c r="G242" s="320"/>
      <c r="H242" s="216" t="s">
        <v>247</v>
      </c>
      <c r="I242" s="215" t="s">
        <v>248</v>
      </c>
      <c r="J242" s="319" t="s">
        <v>249</v>
      </c>
      <c r="K242" s="320"/>
      <c r="L242" s="319" t="s">
        <v>250</v>
      </c>
      <c r="M242" s="320"/>
      <c r="N242" s="319" t="s">
        <v>251</v>
      </c>
      <c r="O242" s="321"/>
      <c r="P242" s="320"/>
      <c r="Q242" s="215" t="s">
        <v>252</v>
      </c>
      <c r="R242" s="216" t="s">
        <v>253</v>
      </c>
      <c r="S242" s="311"/>
    </row>
    <row r="243" spans="1:19" ht="16.5" customHeight="1">
      <c r="A243" s="212"/>
      <c r="B243" s="213"/>
      <c r="C243" s="217" t="s">
        <v>21</v>
      </c>
      <c r="D243" s="217" t="s">
        <v>24</v>
      </c>
      <c r="E243" s="217" t="s">
        <v>21</v>
      </c>
      <c r="F243" s="217" t="s">
        <v>21</v>
      </c>
      <c r="G243" s="217" t="s">
        <v>27</v>
      </c>
      <c r="H243" s="217" t="s">
        <v>254</v>
      </c>
      <c r="I243" s="217" t="s">
        <v>255</v>
      </c>
      <c r="J243" s="217" t="s">
        <v>21</v>
      </c>
      <c r="K243" s="217" t="s">
        <v>256</v>
      </c>
      <c r="L243" s="217" t="s">
        <v>21</v>
      </c>
      <c r="M243" s="217" t="s">
        <v>257</v>
      </c>
      <c r="N243" s="217" t="s">
        <v>258</v>
      </c>
      <c r="O243" s="217" t="s">
        <v>259</v>
      </c>
      <c r="P243" s="217" t="s">
        <v>260</v>
      </c>
      <c r="Q243" s="217" t="s">
        <v>261</v>
      </c>
      <c r="R243" s="217" t="s">
        <v>157</v>
      </c>
      <c r="S243" s="311"/>
    </row>
    <row r="244" spans="1:19" ht="16.5" customHeight="1">
      <c r="A244" s="212"/>
      <c r="B244" s="213"/>
      <c r="C244" s="218"/>
      <c r="D244" s="218"/>
      <c r="E244" s="218" t="s">
        <v>262</v>
      </c>
      <c r="F244" s="218" t="s">
        <v>13</v>
      </c>
      <c r="G244" s="218" t="s">
        <v>111</v>
      </c>
      <c r="H244" s="218" t="s">
        <v>74</v>
      </c>
      <c r="I244" s="218" t="s">
        <v>74</v>
      </c>
      <c r="J244" s="218" t="s">
        <v>263</v>
      </c>
      <c r="K244" s="218" t="s">
        <v>264</v>
      </c>
      <c r="L244" s="218" t="s">
        <v>265</v>
      </c>
      <c r="M244" s="218" t="s">
        <v>266</v>
      </c>
      <c r="N244" s="218" t="s">
        <v>225</v>
      </c>
      <c r="O244" s="218" t="s">
        <v>228</v>
      </c>
      <c r="P244" s="218" t="s">
        <v>267</v>
      </c>
      <c r="Q244" s="218" t="s">
        <v>268</v>
      </c>
      <c r="R244" s="218"/>
      <c r="S244" s="311"/>
    </row>
    <row r="245" spans="1:19" ht="16.5" customHeight="1">
      <c r="A245" s="212"/>
      <c r="B245" s="213"/>
      <c r="C245" s="218"/>
      <c r="D245" s="218"/>
      <c r="E245" s="218" t="s">
        <v>269</v>
      </c>
      <c r="F245" s="219"/>
      <c r="G245" s="218"/>
      <c r="H245" s="218" t="s">
        <v>270</v>
      </c>
      <c r="I245" s="218" t="s">
        <v>242</v>
      </c>
      <c r="J245" s="218" t="s">
        <v>142</v>
      </c>
      <c r="K245" s="218" t="s">
        <v>271</v>
      </c>
      <c r="L245" s="218" t="s">
        <v>272</v>
      </c>
      <c r="M245" s="218" t="s">
        <v>273</v>
      </c>
      <c r="N245" s="218"/>
      <c r="O245" s="218" t="s">
        <v>274</v>
      </c>
      <c r="P245" s="218" t="s">
        <v>275</v>
      </c>
      <c r="Q245" s="218" t="s">
        <v>219</v>
      </c>
      <c r="R245" s="218"/>
      <c r="S245" s="311"/>
    </row>
    <row r="246" spans="1:19" ht="16.5" customHeight="1">
      <c r="A246" s="220" t="s">
        <v>276</v>
      </c>
      <c r="B246" s="221"/>
      <c r="C246" s="222" t="s">
        <v>277</v>
      </c>
      <c r="D246" s="222" t="s">
        <v>278</v>
      </c>
      <c r="E246" s="222" t="s">
        <v>279</v>
      </c>
      <c r="F246" s="222" t="s">
        <v>280</v>
      </c>
      <c r="G246" s="222" t="s">
        <v>281</v>
      </c>
      <c r="H246" s="222" t="s">
        <v>282</v>
      </c>
      <c r="I246" s="222" t="s">
        <v>283</v>
      </c>
      <c r="J246" s="222" t="s">
        <v>284</v>
      </c>
      <c r="K246" s="222" t="s">
        <v>285</v>
      </c>
      <c r="L246" s="222" t="s">
        <v>286</v>
      </c>
      <c r="M246" s="222" t="s">
        <v>287</v>
      </c>
      <c r="N246" s="222" t="s">
        <v>288</v>
      </c>
      <c r="O246" s="222" t="s">
        <v>289</v>
      </c>
      <c r="P246" s="222" t="s">
        <v>290</v>
      </c>
      <c r="Q246" s="222" t="s">
        <v>291</v>
      </c>
      <c r="R246" s="222" t="s">
        <v>292</v>
      </c>
      <c r="S246" s="312"/>
    </row>
    <row r="247" spans="1:19" ht="16.5" customHeight="1">
      <c r="A247" s="227" t="s">
        <v>359</v>
      </c>
      <c r="B247" s="228">
        <v>5411800</v>
      </c>
      <c r="C247" s="230">
        <v>178116.31</v>
      </c>
      <c r="D247" s="230"/>
      <c r="E247" s="230"/>
      <c r="F247" s="230"/>
      <c r="G247" s="230"/>
      <c r="H247" s="230"/>
      <c r="I247" s="230"/>
      <c r="J247" s="230">
        <v>185296</v>
      </c>
      <c r="K247" s="230"/>
      <c r="L247" s="230"/>
      <c r="M247" s="230"/>
      <c r="N247" s="230"/>
      <c r="O247" s="230"/>
      <c r="P247" s="230"/>
      <c r="Q247" s="230"/>
      <c r="R247" s="229"/>
      <c r="S247" s="229">
        <f>SUM(C247:R247)</f>
        <v>363412.31</v>
      </c>
    </row>
    <row r="248" spans="1:19" ht="16.5" customHeight="1" thickBot="1">
      <c r="A248" s="252" t="s">
        <v>302</v>
      </c>
      <c r="B248" s="233"/>
      <c r="C248" s="235">
        <f>SUM(C237:C247)</f>
        <v>178916.31</v>
      </c>
      <c r="D248" s="235">
        <f>SUM(D228:D247)</f>
        <v>142800</v>
      </c>
      <c r="E248" s="235">
        <f>SUM(E237:E247)</f>
        <v>0</v>
      </c>
      <c r="F248" s="235">
        <f>SUM(F228:F247)</f>
        <v>150000</v>
      </c>
      <c r="G248" s="235">
        <f>SUM(G237:G247)</f>
        <v>0</v>
      </c>
      <c r="H248" s="235">
        <f>SUM(H237:H247)</f>
        <v>0</v>
      </c>
      <c r="I248" s="235">
        <f>SUM(I237:I247)</f>
        <v>0</v>
      </c>
      <c r="J248" s="235">
        <f>SUM(J228:J247)</f>
        <v>1194696</v>
      </c>
      <c r="K248" s="235">
        <f aca="true" t="shared" si="28" ref="K248:P248">SUM(K237:K247)</f>
        <v>0</v>
      </c>
      <c r="L248" s="235">
        <f t="shared" si="28"/>
        <v>0</v>
      </c>
      <c r="M248" s="235">
        <f t="shared" si="28"/>
        <v>0</v>
      </c>
      <c r="N248" s="235">
        <f t="shared" si="28"/>
        <v>0</v>
      </c>
      <c r="O248" s="235">
        <f t="shared" si="28"/>
        <v>0</v>
      </c>
      <c r="P248" s="235">
        <f t="shared" si="28"/>
        <v>0</v>
      </c>
      <c r="Q248" s="235"/>
      <c r="R248" s="235">
        <f>SUM(R237:R247)</f>
        <v>0</v>
      </c>
      <c r="S248" s="234">
        <f>SUM(S228:S247)</f>
        <v>1666412.31</v>
      </c>
    </row>
    <row r="249" spans="1:19" ht="16.5" customHeight="1" thickTop="1">
      <c r="A249" s="246" t="s">
        <v>170</v>
      </c>
      <c r="B249" s="224">
        <v>5420000</v>
      </c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5"/>
      <c r="S249" s="225"/>
    </row>
    <row r="250" spans="1:19" ht="16.5" customHeight="1">
      <c r="A250" s="227" t="s">
        <v>360</v>
      </c>
      <c r="B250" s="228">
        <v>5421000</v>
      </c>
      <c r="C250" s="230"/>
      <c r="D250" s="230"/>
      <c r="E250" s="230"/>
      <c r="F250" s="230">
        <v>650000</v>
      </c>
      <c r="G250" s="230"/>
      <c r="H250" s="230"/>
      <c r="I250" s="230"/>
      <c r="J250" s="230">
        <v>100000</v>
      </c>
      <c r="K250" s="230"/>
      <c r="L250" s="230"/>
      <c r="M250" s="230"/>
      <c r="N250" s="230"/>
      <c r="O250" s="230"/>
      <c r="P250" s="230"/>
      <c r="Q250" s="230">
        <f>2084000+84200+3000000+1916000+3443000</f>
        <v>10527200</v>
      </c>
      <c r="R250" s="229"/>
      <c r="S250" s="229">
        <f>SUM(C250:R250)</f>
        <v>11277200</v>
      </c>
    </row>
    <row r="251" spans="1:19" ht="16.5" customHeight="1">
      <c r="A251" s="227" t="s">
        <v>361</v>
      </c>
      <c r="B251" s="228">
        <v>5421000</v>
      </c>
      <c r="C251" s="230">
        <v>40000</v>
      </c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29"/>
      <c r="S251" s="229">
        <f>SUM(C251:R251)</f>
        <v>40000</v>
      </c>
    </row>
    <row r="252" spans="1:19" ht="16.5" customHeight="1" thickBot="1">
      <c r="A252" s="252" t="s">
        <v>302</v>
      </c>
      <c r="B252" s="256"/>
      <c r="C252" s="257">
        <f>SUM(C251)</f>
        <v>40000</v>
      </c>
      <c r="D252" s="258">
        <f>SUM(D251)</f>
        <v>0</v>
      </c>
      <c r="E252" s="258">
        <f>SUM(E251)</f>
        <v>0</v>
      </c>
      <c r="F252" s="235">
        <f>SUM(F250+F251)</f>
        <v>650000</v>
      </c>
      <c r="G252" s="258">
        <f>SUM(G251)</f>
        <v>0</v>
      </c>
      <c r="H252" s="258">
        <f>SUM(H251)</f>
        <v>0</v>
      </c>
      <c r="I252" s="258">
        <f>SUM(I251)</f>
        <v>0</v>
      </c>
      <c r="J252" s="235">
        <f>SUM(J250+J251)</f>
        <v>100000</v>
      </c>
      <c r="K252" s="258">
        <f aca="true" t="shared" si="29" ref="K252:P252">SUM(K250:K251)</f>
        <v>0</v>
      </c>
      <c r="L252" s="258">
        <f t="shared" si="29"/>
        <v>0</v>
      </c>
      <c r="M252" s="235">
        <f t="shared" si="29"/>
        <v>0</v>
      </c>
      <c r="N252" s="258">
        <f t="shared" si="29"/>
        <v>0</v>
      </c>
      <c r="O252" s="258">
        <f t="shared" si="29"/>
        <v>0</v>
      </c>
      <c r="P252" s="258">
        <f t="shared" si="29"/>
        <v>0</v>
      </c>
      <c r="Q252" s="257">
        <f>10527200</f>
        <v>10527200</v>
      </c>
      <c r="R252" s="258">
        <f>SUM(R251)</f>
        <v>0</v>
      </c>
      <c r="S252" s="234">
        <f>SUM(S250:S251)</f>
        <v>11317200</v>
      </c>
    </row>
    <row r="253" spans="1:19" ht="16.5" customHeight="1" thickTop="1">
      <c r="A253" s="223" t="s">
        <v>105</v>
      </c>
      <c r="B253" s="224">
        <v>5510000</v>
      </c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5"/>
      <c r="S253" s="225"/>
    </row>
    <row r="254" spans="1:19" ht="16.5" customHeight="1">
      <c r="A254" s="227" t="s">
        <v>362</v>
      </c>
      <c r="B254" s="228">
        <v>5510100</v>
      </c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29"/>
      <c r="S254" s="229"/>
    </row>
    <row r="255" spans="1:19" ht="16.5" customHeight="1">
      <c r="A255" s="227" t="s">
        <v>363</v>
      </c>
      <c r="B255" s="228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29"/>
      <c r="S255" s="229"/>
    </row>
    <row r="256" spans="1:19" ht="16.5" customHeight="1">
      <c r="A256" s="227" t="s">
        <v>364</v>
      </c>
      <c r="B256" s="228">
        <v>5510100</v>
      </c>
      <c r="C256" s="229"/>
      <c r="D256" s="229"/>
      <c r="E256" s="229"/>
      <c r="F256" s="229"/>
      <c r="G256" s="229"/>
      <c r="H256" s="229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>
        <f>SUM(C256:R256)</f>
        <v>0</v>
      </c>
    </row>
    <row r="257" spans="1:19" ht="16.5" customHeight="1" thickBot="1">
      <c r="A257" s="252" t="s">
        <v>302</v>
      </c>
      <c r="B257" s="233"/>
      <c r="C257" s="235">
        <f aca="true" t="shared" si="30" ref="C257:P257">SUM(C256)</f>
        <v>0</v>
      </c>
      <c r="D257" s="235">
        <f t="shared" si="30"/>
        <v>0</v>
      </c>
      <c r="E257" s="235">
        <f t="shared" si="30"/>
        <v>0</v>
      </c>
      <c r="F257" s="235">
        <f t="shared" si="30"/>
        <v>0</v>
      </c>
      <c r="G257" s="235">
        <f t="shared" si="30"/>
        <v>0</v>
      </c>
      <c r="H257" s="235">
        <f t="shared" si="30"/>
        <v>0</v>
      </c>
      <c r="I257" s="235">
        <f t="shared" si="30"/>
        <v>0</v>
      </c>
      <c r="J257" s="235">
        <f t="shared" si="30"/>
        <v>0</v>
      </c>
      <c r="K257" s="235">
        <f t="shared" si="30"/>
        <v>0</v>
      </c>
      <c r="L257" s="235">
        <f t="shared" si="30"/>
        <v>0</v>
      </c>
      <c r="M257" s="235">
        <f t="shared" si="30"/>
        <v>0</v>
      </c>
      <c r="N257" s="235">
        <f t="shared" si="30"/>
        <v>0</v>
      </c>
      <c r="O257" s="235">
        <f t="shared" si="30"/>
        <v>0</v>
      </c>
      <c r="P257" s="235">
        <f t="shared" si="30"/>
        <v>0</v>
      </c>
      <c r="Q257" s="235"/>
      <c r="R257" s="235">
        <f>SUM(R256)</f>
        <v>0</v>
      </c>
      <c r="S257" s="234">
        <f>SUM(S254:S256)</f>
        <v>0</v>
      </c>
    </row>
    <row r="258" spans="1:19" ht="16.5" customHeight="1" thickTop="1">
      <c r="A258" s="223" t="s">
        <v>104</v>
      </c>
      <c r="B258" s="224">
        <v>5610000</v>
      </c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</row>
    <row r="259" spans="1:19" ht="16.5" customHeight="1">
      <c r="A259" s="227" t="s">
        <v>365</v>
      </c>
      <c r="B259" s="224">
        <v>5610100</v>
      </c>
      <c r="C259" s="247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48">
        <f>SUM(C259:R259)</f>
        <v>0</v>
      </c>
    </row>
    <row r="260" spans="1:19" ht="16.5" customHeight="1">
      <c r="A260" s="227" t="s">
        <v>366</v>
      </c>
      <c r="B260" s="228">
        <v>5610200</v>
      </c>
      <c r="C260" s="229"/>
      <c r="D260" s="229"/>
      <c r="E260" s="229"/>
      <c r="F260" s="230">
        <f>1310000</f>
        <v>1310000</v>
      </c>
      <c r="G260" s="230"/>
      <c r="H260" s="230"/>
      <c r="I260" s="230"/>
      <c r="J260" s="229"/>
      <c r="K260" s="229"/>
      <c r="L260" s="229"/>
      <c r="M260" s="229"/>
      <c r="N260" s="230"/>
      <c r="O260" s="230"/>
      <c r="P260" s="230"/>
      <c r="Q260" s="230"/>
      <c r="R260" s="229"/>
      <c r="S260" s="229">
        <f>SUM(C260:R260)</f>
        <v>1310000</v>
      </c>
    </row>
    <row r="261" spans="1:19" ht="16.5" customHeight="1">
      <c r="A261" s="227" t="s">
        <v>367</v>
      </c>
      <c r="B261" s="228">
        <v>5610300</v>
      </c>
      <c r="C261" s="229"/>
      <c r="D261" s="229"/>
      <c r="E261" s="229"/>
      <c r="F261" s="230"/>
      <c r="G261" s="230"/>
      <c r="H261" s="230"/>
      <c r="I261" s="230"/>
      <c r="J261" s="229"/>
      <c r="K261" s="229"/>
      <c r="L261" s="229"/>
      <c r="M261" s="229"/>
      <c r="N261" s="230"/>
      <c r="O261" s="230"/>
      <c r="P261" s="230"/>
      <c r="Q261" s="230"/>
      <c r="R261" s="229"/>
      <c r="S261" s="229">
        <f>SUM(C261:R261)</f>
        <v>0</v>
      </c>
    </row>
    <row r="262" spans="1:19" ht="16.5" customHeight="1">
      <c r="A262" s="227" t="s">
        <v>368</v>
      </c>
      <c r="B262" s="228">
        <v>5610400</v>
      </c>
      <c r="C262" s="229"/>
      <c r="D262" s="229"/>
      <c r="E262" s="229"/>
      <c r="F262" s="230">
        <v>0</v>
      </c>
      <c r="G262" s="230">
        <v>0</v>
      </c>
      <c r="H262" s="230">
        <v>220000</v>
      </c>
      <c r="I262" s="230"/>
      <c r="J262" s="229"/>
      <c r="K262" s="229"/>
      <c r="L262" s="229"/>
      <c r="M262" s="229"/>
      <c r="N262" s="230"/>
      <c r="O262" s="230"/>
      <c r="P262" s="230"/>
      <c r="Q262" s="230"/>
      <c r="R262" s="229"/>
      <c r="S262" s="229">
        <f>SUM(C262:R262)</f>
        <v>220000</v>
      </c>
    </row>
    <row r="263" spans="1:19" ht="16.5" customHeight="1" thickBot="1">
      <c r="A263" s="259" t="s">
        <v>302</v>
      </c>
      <c r="B263" s="260"/>
      <c r="C263" s="261">
        <f aca="true" t="shared" si="31" ref="C263:S263">SUM(C259:C262)</f>
        <v>0</v>
      </c>
      <c r="D263" s="261">
        <f t="shared" si="31"/>
        <v>0</v>
      </c>
      <c r="E263" s="261">
        <f t="shared" si="31"/>
        <v>0</v>
      </c>
      <c r="F263" s="234">
        <f t="shared" si="31"/>
        <v>1310000</v>
      </c>
      <c r="G263" s="234">
        <f t="shared" si="31"/>
        <v>0</v>
      </c>
      <c r="H263" s="234">
        <f t="shared" si="31"/>
        <v>220000</v>
      </c>
      <c r="I263" s="261">
        <f t="shared" si="31"/>
        <v>0</v>
      </c>
      <c r="J263" s="261">
        <f t="shared" si="31"/>
        <v>0</v>
      </c>
      <c r="K263" s="261">
        <f t="shared" si="31"/>
        <v>0</v>
      </c>
      <c r="L263" s="261">
        <f t="shared" si="31"/>
        <v>0</v>
      </c>
      <c r="M263" s="261">
        <f t="shared" si="31"/>
        <v>0</v>
      </c>
      <c r="N263" s="234">
        <f t="shared" si="31"/>
        <v>0</v>
      </c>
      <c r="O263" s="261">
        <f t="shared" si="31"/>
        <v>0</v>
      </c>
      <c r="P263" s="261">
        <f t="shared" si="31"/>
        <v>0</v>
      </c>
      <c r="Q263" s="261">
        <f t="shared" si="31"/>
        <v>0</v>
      </c>
      <c r="R263" s="261">
        <f t="shared" si="31"/>
        <v>0</v>
      </c>
      <c r="S263" s="234">
        <f t="shared" si="31"/>
        <v>1530000</v>
      </c>
    </row>
    <row r="264" spans="1:19" ht="16.5" customHeight="1" thickBot="1" thickTop="1">
      <c r="A264" s="262" t="s">
        <v>374</v>
      </c>
      <c r="B264" s="263"/>
      <c r="C264" s="264">
        <f aca="true" t="shared" si="32" ref="C264:R264">C159+C166+C181+C189+C196+C219+C226+C248+C252+C257+C263</f>
        <v>7067380.509999999</v>
      </c>
      <c r="D264" s="264">
        <f t="shared" si="32"/>
        <v>2260358</v>
      </c>
      <c r="E264" s="264">
        <f t="shared" si="32"/>
        <v>272781</v>
      </c>
      <c r="F264" s="264">
        <f t="shared" si="32"/>
        <v>3647230.83</v>
      </c>
      <c r="G264" s="264">
        <f t="shared" si="32"/>
        <v>1742765</v>
      </c>
      <c r="H264" s="264">
        <f t="shared" si="32"/>
        <v>696970</v>
      </c>
      <c r="I264" s="264">
        <f t="shared" si="32"/>
        <v>170000</v>
      </c>
      <c r="J264" s="264">
        <f t="shared" si="32"/>
        <v>4683122.88</v>
      </c>
      <c r="K264" s="264">
        <f t="shared" si="32"/>
        <v>155281</v>
      </c>
      <c r="L264" s="264">
        <f t="shared" si="32"/>
        <v>5000</v>
      </c>
      <c r="M264" s="264">
        <f t="shared" si="32"/>
        <v>180000</v>
      </c>
      <c r="N264" s="264">
        <f t="shared" si="32"/>
        <v>250000</v>
      </c>
      <c r="O264" s="264">
        <f t="shared" si="32"/>
        <v>147187.21</v>
      </c>
      <c r="P264" s="264">
        <f t="shared" si="32"/>
        <v>200000</v>
      </c>
      <c r="Q264" s="264">
        <f t="shared" si="32"/>
        <v>10527200</v>
      </c>
      <c r="R264" s="264">
        <f t="shared" si="32"/>
        <v>6042796.09</v>
      </c>
      <c r="S264" s="264">
        <f>SUM(C264:R264)</f>
        <v>38048072.519999996</v>
      </c>
    </row>
    <row r="265" spans="1:19" ht="16.5" customHeight="1" thickTop="1">
      <c r="A265" s="326"/>
      <c r="B265" s="327"/>
      <c r="C265" s="328"/>
      <c r="D265" s="328"/>
      <c r="E265" s="328"/>
      <c r="F265" s="328"/>
      <c r="G265" s="328"/>
      <c r="H265" s="328"/>
      <c r="I265" s="328"/>
      <c r="J265" s="328"/>
      <c r="K265" s="328"/>
      <c r="L265" s="328"/>
      <c r="M265" s="328"/>
      <c r="N265" s="328"/>
      <c r="O265" s="328"/>
      <c r="P265" s="328"/>
      <c r="Q265" s="328"/>
      <c r="R265" s="328"/>
      <c r="S265" s="328"/>
    </row>
    <row r="266" spans="1:19" ht="16.5" customHeight="1">
      <c r="A266" s="326"/>
      <c r="B266" s="327"/>
      <c r="C266" s="328"/>
      <c r="D266" s="328"/>
      <c r="E266" s="328"/>
      <c r="F266" s="328"/>
      <c r="G266" s="328"/>
      <c r="H266" s="328"/>
      <c r="I266" s="328"/>
      <c r="J266" s="328"/>
      <c r="K266" s="328"/>
      <c r="L266" s="328"/>
      <c r="M266" s="328"/>
      <c r="N266" s="328"/>
      <c r="O266" s="328"/>
      <c r="P266" s="328"/>
      <c r="Q266" s="328"/>
      <c r="R266" s="328"/>
      <c r="S266" s="328"/>
    </row>
    <row r="267" spans="1:19" ht="16.5" customHeight="1">
      <c r="A267" s="326"/>
      <c r="B267" s="327"/>
      <c r="C267" s="328"/>
      <c r="D267" s="328"/>
      <c r="E267" s="328"/>
      <c r="F267" s="328"/>
      <c r="G267" s="328"/>
      <c r="H267" s="328"/>
      <c r="I267" s="328"/>
      <c r="J267" s="328"/>
      <c r="K267" s="328"/>
      <c r="L267" s="328"/>
      <c r="M267" s="328"/>
      <c r="N267" s="328"/>
      <c r="O267" s="328"/>
      <c r="P267" s="328"/>
      <c r="Q267" s="328"/>
      <c r="R267" s="328"/>
      <c r="S267" s="328"/>
    </row>
    <row r="268" spans="1:19" ht="16.5" customHeight="1">
      <c r="A268" s="326"/>
      <c r="B268" s="327"/>
      <c r="C268" s="328"/>
      <c r="D268" s="328"/>
      <c r="E268" s="328"/>
      <c r="F268" s="328"/>
      <c r="G268" s="328"/>
      <c r="H268" s="328"/>
      <c r="I268" s="328"/>
      <c r="J268" s="328"/>
      <c r="K268" s="328"/>
      <c r="L268" s="328"/>
      <c r="M268" s="328"/>
      <c r="N268" s="328"/>
      <c r="O268" s="328"/>
      <c r="P268" s="328"/>
      <c r="Q268" s="328"/>
      <c r="R268" s="328"/>
      <c r="S268" s="328"/>
    </row>
    <row r="269" spans="1:19" ht="16.5" customHeight="1">
      <c r="A269" s="326"/>
      <c r="B269" s="327"/>
      <c r="C269" s="328"/>
      <c r="D269" s="328"/>
      <c r="E269" s="328"/>
      <c r="F269" s="328"/>
      <c r="G269" s="328"/>
      <c r="H269" s="328"/>
      <c r="I269" s="328"/>
      <c r="J269" s="328"/>
      <c r="K269" s="328"/>
      <c r="L269" s="328"/>
      <c r="M269" s="328"/>
      <c r="N269" s="328"/>
      <c r="O269" s="328"/>
      <c r="P269" s="328"/>
      <c r="Q269" s="328"/>
      <c r="R269" s="328"/>
      <c r="S269" s="328"/>
    </row>
    <row r="270" spans="1:19" ht="16.5" customHeight="1">
      <c r="A270" s="326"/>
      <c r="B270" s="327"/>
      <c r="C270" s="328"/>
      <c r="D270" s="328"/>
      <c r="E270" s="328"/>
      <c r="F270" s="328"/>
      <c r="G270" s="328"/>
      <c r="H270" s="328"/>
      <c r="I270" s="328"/>
      <c r="J270" s="328"/>
      <c r="K270" s="328"/>
      <c r="L270" s="328"/>
      <c r="M270" s="328"/>
      <c r="N270" s="328"/>
      <c r="O270" s="328"/>
      <c r="P270" s="328"/>
      <c r="Q270" s="328"/>
      <c r="R270" s="328"/>
      <c r="S270" s="328"/>
    </row>
    <row r="271" spans="1:19" ht="16.5" customHeight="1">
      <c r="A271" s="326"/>
      <c r="B271" s="327"/>
      <c r="C271" s="328"/>
      <c r="D271" s="328"/>
      <c r="E271" s="328"/>
      <c r="F271" s="328"/>
      <c r="G271" s="328"/>
      <c r="H271" s="328"/>
      <c r="I271" s="328"/>
      <c r="J271" s="328"/>
      <c r="K271" s="328"/>
      <c r="L271" s="328"/>
      <c r="M271" s="328"/>
      <c r="N271" s="328"/>
      <c r="O271" s="328"/>
      <c r="P271" s="328"/>
      <c r="Q271" s="328"/>
      <c r="R271" s="328"/>
      <c r="S271" s="328"/>
    </row>
    <row r="272" spans="1:19" ht="16.5" customHeight="1">
      <c r="A272" s="326"/>
      <c r="B272" s="327"/>
      <c r="C272" s="328"/>
      <c r="D272" s="328"/>
      <c r="E272" s="328"/>
      <c r="F272" s="328"/>
      <c r="G272" s="328"/>
      <c r="H272" s="328"/>
      <c r="I272" s="328"/>
      <c r="J272" s="328"/>
      <c r="K272" s="328"/>
      <c r="L272" s="328"/>
      <c r="M272" s="328"/>
      <c r="N272" s="328"/>
      <c r="O272" s="328"/>
      <c r="P272" s="328"/>
      <c r="Q272" s="328"/>
      <c r="R272" s="328"/>
      <c r="S272" s="328"/>
    </row>
    <row r="273" spans="1:19" ht="23.25">
      <c r="A273" s="325" t="s">
        <v>387</v>
      </c>
      <c r="B273" s="325"/>
      <c r="C273" s="325"/>
      <c r="D273" s="325"/>
      <c r="E273" s="325"/>
      <c r="F273" s="325"/>
      <c r="G273" s="325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23"/>
    </row>
    <row r="274" spans="1:19" ht="23.25">
      <c r="A274" s="325" t="s">
        <v>388</v>
      </c>
      <c r="B274" s="325"/>
      <c r="C274" s="325"/>
      <c r="D274" s="325"/>
      <c r="E274" s="325"/>
      <c r="F274" s="325"/>
      <c r="G274" s="325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23"/>
    </row>
    <row r="275" spans="1:19" ht="23.25">
      <c r="A275" s="325" t="s">
        <v>405</v>
      </c>
      <c r="B275" s="325"/>
      <c r="C275" s="325"/>
      <c r="D275" s="325"/>
      <c r="E275" s="325"/>
      <c r="F275" s="325"/>
      <c r="G275" s="325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23"/>
    </row>
    <row r="276" spans="1:19" ht="23.25">
      <c r="A276" s="325" t="s">
        <v>389</v>
      </c>
      <c r="B276" s="325"/>
      <c r="C276" s="325"/>
      <c r="D276" s="325"/>
      <c r="E276" s="325"/>
      <c r="F276" s="325"/>
      <c r="G276" s="325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23"/>
    </row>
    <row r="277" spans="1:19" ht="23.25">
      <c r="A277" s="325" t="s">
        <v>390</v>
      </c>
      <c r="B277" s="325"/>
      <c r="C277" s="325"/>
      <c r="D277" s="325"/>
      <c r="E277" s="325"/>
      <c r="F277" s="325"/>
      <c r="G277" s="325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23"/>
    </row>
    <row r="278" spans="1:19" ht="23.25">
      <c r="A278" s="206"/>
      <c r="B278" s="206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3"/>
    </row>
    <row r="279" spans="1:19" ht="23.25">
      <c r="A279" s="207"/>
      <c r="B279" s="207" t="s">
        <v>240</v>
      </c>
      <c r="C279" s="316" t="s">
        <v>22</v>
      </c>
      <c r="D279" s="317"/>
      <c r="E279" s="209" t="s">
        <v>241</v>
      </c>
      <c r="F279" s="316" t="s">
        <v>26</v>
      </c>
      <c r="G279" s="317"/>
      <c r="H279" s="217" t="s">
        <v>73</v>
      </c>
      <c r="I279" s="211" t="s">
        <v>242</v>
      </c>
      <c r="J279" s="316" t="s">
        <v>23</v>
      </c>
      <c r="K279" s="317"/>
      <c r="L279" s="316" t="s">
        <v>208</v>
      </c>
      <c r="M279" s="317"/>
      <c r="N279" s="316" t="s">
        <v>243</v>
      </c>
      <c r="O279" s="318"/>
      <c r="P279" s="317"/>
      <c r="Q279" s="211" t="s">
        <v>218</v>
      </c>
      <c r="R279" s="210" t="s">
        <v>157</v>
      </c>
      <c r="S279" s="310" t="s">
        <v>53</v>
      </c>
    </row>
    <row r="280" spans="1:19" ht="23.25">
      <c r="A280" s="212"/>
      <c r="B280" s="213"/>
      <c r="C280" s="313" t="s">
        <v>244</v>
      </c>
      <c r="D280" s="314"/>
      <c r="E280" s="214" t="s">
        <v>245</v>
      </c>
      <c r="F280" s="313" t="s">
        <v>246</v>
      </c>
      <c r="G280" s="314"/>
      <c r="H280" s="222" t="s">
        <v>247</v>
      </c>
      <c r="I280" s="280" t="s">
        <v>248</v>
      </c>
      <c r="J280" s="313" t="s">
        <v>249</v>
      </c>
      <c r="K280" s="314"/>
      <c r="L280" s="313" t="s">
        <v>250</v>
      </c>
      <c r="M280" s="314"/>
      <c r="N280" s="313" t="s">
        <v>251</v>
      </c>
      <c r="O280" s="315"/>
      <c r="P280" s="314"/>
      <c r="Q280" s="215" t="s">
        <v>252</v>
      </c>
      <c r="R280" s="216" t="s">
        <v>253</v>
      </c>
      <c r="S280" s="311"/>
    </row>
    <row r="281" spans="1:19" ht="23.25">
      <c r="A281" s="212"/>
      <c r="B281" s="213"/>
      <c r="C281" s="217" t="s">
        <v>21</v>
      </c>
      <c r="D281" s="217" t="s">
        <v>24</v>
      </c>
      <c r="E281" s="217" t="s">
        <v>21</v>
      </c>
      <c r="F281" s="217" t="s">
        <v>21</v>
      </c>
      <c r="G281" s="217" t="s">
        <v>27</v>
      </c>
      <c r="H281" s="217" t="s">
        <v>254</v>
      </c>
      <c r="I281" s="217" t="s">
        <v>255</v>
      </c>
      <c r="J281" s="217" t="s">
        <v>21</v>
      </c>
      <c r="K281" s="217" t="s">
        <v>391</v>
      </c>
      <c r="L281" s="217" t="s">
        <v>21</v>
      </c>
      <c r="M281" s="217" t="s">
        <v>257</v>
      </c>
      <c r="N281" s="217" t="s">
        <v>258</v>
      </c>
      <c r="O281" s="217" t="s">
        <v>259</v>
      </c>
      <c r="P281" s="217" t="s">
        <v>260</v>
      </c>
      <c r="Q281" s="217" t="s">
        <v>261</v>
      </c>
      <c r="R281" s="217" t="s">
        <v>157</v>
      </c>
      <c r="S281" s="311"/>
    </row>
    <row r="282" spans="1:19" ht="23.25">
      <c r="A282" s="212"/>
      <c r="B282" s="213"/>
      <c r="C282" s="218"/>
      <c r="D282" s="218"/>
      <c r="E282" s="218" t="s">
        <v>262</v>
      </c>
      <c r="F282" s="218" t="s">
        <v>13</v>
      </c>
      <c r="G282" s="218" t="s">
        <v>111</v>
      </c>
      <c r="H282" s="218" t="s">
        <v>74</v>
      </c>
      <c r="I282" s="218" t="s">
        <v>74</v>
      </c>
      <c r="J282" s="218" t="s">
        <v>392</v>
      </c>
      <c r="K282" s="218" t="s">
        <v>393</v>
      </c>
      <c r="L282" s="218" t="s">
        <v>265</v>
      </c>
      <c r="M282" s="218" t="s">
        <v>266</v>
      </c>
      <c r="N282" s="218" t="s">
        <v>225</v>
      </c>
      <c r="O282" s="218" t="s">
        <v>228</v>
      </c>
      <c r="P282" s="218" t="s">
        <v>394</v>
      </c>
      <c r="Q282" s="218" t="s">
        <v>268</v>
      </c>
      <c r="R282" s="218"/>
      <c r="S282" s="311"/>
    </row>
    <row r="283" spans="1:19" ht="23.25">
      <c r="A283" s="212"/>
      <c r="B283" s="213"/>
      <c r="C283" s="218"/>
      <c r="D283" s="218"/>
      <c r="E283" s="218" t="s">
        <v>269</v>
      </c>
      <c r="F283" s="219"/>
      <c r="G283" s="218"/>
      <c r="H283" s="218" t="s">
        <v>270</v>
      </c>
      <c r="I283" s="218" t="s">
        <v>242</v>
      </c>
      <c r="J283" s="218"/>
      <c r="K283" s="218"/>
      <c r="L283" s="218" t="s">
        <v>272</v>
      </c>
      <c r="M283" s="218" t="s">
        <v>273</v>
      </c>
      <c r="N283" s="218"/>
      <c r="O283" s="218" t="s">
        <v>274</v>
      </c>
      <c r="P283" s="218"/>
      <c r="Q283" s="218" t="s">
        <v>219</v>
      </c>
      <c r="R283" s="218"/>
      <c r="S283" s="311"/>
    </row>
    <row r="284" spans="1:19" ht="23.25">
      <c r="A284" s="220" t="s">
        <v>276</v>
      </c>
      <c r="B284" s="221"/>
      <c r="C284" s="222" t="s">
        <v>277</v>
      </c>
      <c r="D284" s="222" t="s">
        <v>278</v>
      </c>
      <c r="E284" s="222" t="s">
        <v>279</v>
      </c>
      <c r="F284" s="222" t="s">
        <v>280</v>
      </c>
      <c r="G284" s="222" t="s">
        <v>281</v>
      </c>
      <c r="H284" s="222" t="s">
        <v>282</v>
      </c>
      <c r="I284" s="222" t="s">
        <v>283</v>
      </c>
      <c r="J284" s="222" t="s">
        <v>284</v>
      </c>
      <c r="K284" s="222" t="s">
        <v>285</v>
      </c>
      <c r="L284" s="222" t="s">
        <v>286</v>
      </c>
      <c r="M284" s="222" t="s">
        <v>287</v>
      </c>
      <c r="N284" s="222" t="s">
        <v>288</v>
      </c>
      <c r="O284" s="222" t="s">
        <v>289</v>
      </c>
      <c r="P284" s="222" t="s">
        <v>290</v>
      </c>
      <c r="Q284" s="222" t="s">
        <v>291</v>
      </c>
      <c r="R284" s="222" t="s">
        <v>292</v>
      </c>
      <c r="S284" s="312"/>
    </row>
    <row r="285" spans="1:19" ht="21.75">
      <c r="A285" s="223" t="s">
        <v>310</v>
      </c>
      <c r="B285" s="224">
        <v>5220000</v>
      </c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77"/>
    </row>
    <row r="286" spans="1:19" ht="21.75">
      <c r="A286" s="227" t="s">
        <v>311</v>
      </c>
      <c r="B286" s="228">
        <v>5220100</v>
      </c>
      <c r="C286" s="222"/>
      <c r="D286" s="222"/>
      <c r="E286" s="222"/>
      <c r="F286" s="222"/>
      <c r="G286" s="222"/>
      <c r="H286" s="222"/>
      <c r="I286" s="222"/>
      <c r="J286" s="229">
        <f>-300000-50000</f>
        <v>-350000</v>
      </c>
      <c r="K286" s="222"/>
      <c r="L286" s="222"/>
      <c r="M286" s="222"/>
      <c r="N286" s="222"/>
      <c r="O286" s="222"/>
      <c r="P286" s="222"/>
      <c r="Q286" s="222"/>
      <c r="R286" s="222"/>
      <c r="S286" s="281">
        <f>SUM(C286:R286)</f>
        <v>-350000</v>
      </c>
    </row>
    <row r="287" spans="1:19" ht="21.75">
      <c r="A287" s="227" t="s">
        <v>316</v>
      </c>
      <c r="B287" s="228">
        <v>5220700</v>
      </c>
      <c r="C287" s="222"/>
      <c r="D287" s="222"/>
      <c r="E287" s="222"/>
      <c r="F287" s="222"/>
      <c r="G287" s="222"/>
      <c r="H287" s="222"/>
      <c r="I287" s="222"/>
      <c r="J287" s="229">
        <v>300000</v>
      </c>
      <c r="K287" s="222"/>
      <c r="L287" s="222"/>
      <c r="M287" s="222"/>
      <c r="N287" s="222"/>
      <c r="O287" s="222"/>
      <c r="P287" s="222"/>
      <c r="Q287" s="222"/>
      <c r="R287" s="222"/>
      <c r="S287" s="281">
        <f>SUM(C287:R287)</f>
        <v>300000</v>
      </c>
    </row>
    <row r="288" spans="1:19" ht="21.75">
      <c r="A288" s="227" t="s">
        <v>317</v>
      </c>
      <c r="B288" s="228">
        <v>5220800</v>
      </c>
      <c r="C288" s="222"/>
      <c r="D288" s="222"/>
      <c r="E288" s="222"/>
      <c r="F288" s="229">
        <v>15000</v>
      </c>
      <c r="G288" s="222"/>
      <c r="H288" s="222"/>
      <c r="I288" s="222"/>
      <c r="J288" s="229">
        <v>50000</v>
      </c>
      <c r="K288" s="222"/>
      <c r="L288" s="222"/>
      <c r="M288" s="222"/>
      <c r="N288" s="222"/>
      <c r="O288" s="222"/>
      <c r="P288" s="222"/>
      <c r="Q288" s="222"/>
      <c r="R288" s="222"/>
      <c r="S288" s="281">
        <f>SUM(C288:R288)</f>
        <v>65000</v>
      </c>
    </row>
    <row r="289" spans="1:19" ht="22.5" thickBot="1">
      <c r="A289" s="291" t="s">
        <v>406</v>
      </c>
      <c r="B289" s="233"/>
      <c r="C289" s="286"/>
      <c r="D289" s="286"/>
      <c r="E289" s="286"/>
      <c r="F289" s="285">
        <f>SUM(F288)</f>
        <v>15000</v>
      </c>
      <c r="G289" s="286"/>
      <c r="H289" s="286"/>
      <c r="I289" s="286"/>
      <c r="J289" s="292">
        <f>SUM(J286:J288)</f>
        <v>0</v>
      </c>
      <c r="K289" s="286"/>
      <c r="L289" s="286"/>
      <c r="M289" s="286"/>
      <c r="N289" s="286"/>
      <c r="O289" s="286"/>
      <c r="P289" s="286"/>
      <c r="Q289" s="286"/>
      <c r="R289" s="286"/>
      <c r="S289" s="293">
        <f>SUM(C289:R289)</f>
        <v>15000</v>
      </c>
    </row>
    <row r="290" spans="1:19" ht="22.5" thickTop="1">
      <c r="A290" s="223" t="s">
        <v>99</v>
      </c>
      <c r="B290" s="224">
        <v>5310000</v>
      </c>
      <c r="C290" s="329"/>
      <c r="D290" s="329"/>
      <c r="E290" s="329"/>
      <c r="F290" s="329"/>
      <c r="G290" s="329"/>
      <c r="H290" s="329"/>
      <c r="I290" s="329"/>
      <c r="J290" s="329"/>
      <c r="K290" s="329"/>
      <c r="L290" s="329"/>
      <c r="M290" s="329"/>
      <c r="N290" s="329"/>
      <c r="O290" s="329"/>
      <c r="P290" s="329"/>
      <c r="Q290" s="329"/>
      <c r="R290" s="329"/>
      <c r="S290" s="329"/>
    </row>
    <row r="291" spans="1:19" ht="21.75">
      <c r="A291" s="227" t="s">
        <v>318</v>
      </c>
      <c r="B291" s="228">
        <v>5310100</v>
      </c>
      <c r="C291" s="229">
        <f>-15000-56000</f>
        <v>-71000</v>
      </c>
      <c r="D291" s="330"/>
      <c r="E291" s="229">
        <v>56000</v>
      </c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1">
        <f>SUM(C291:R291)</f>
        <v>-15000</v>
      </c>
    </row>
    <row r="292" spans="1:19" ht="22.5" thickBot="1">
      <c r="A292" s="252" t="s">
        <v>396</v>
      </c>
      <c r="B292" s="233"/>
      <c r="C292" s="332">
        <f>SUM(C291:C291)</f>
        <v>-71000</v>
      </c>
      <c r="D292" s="333"/>
      <c r="E292" s="332">
        <f>SUM(E291)</f>
        <v>56000</v>
      </c>
      <c r="F292" s="333"/>
      <c r="G292" s="333"/>
      <c r="H292" s="333"/>
      <c r="I292" s="333"/>
      <c r="J292" s="333"/>
      <c r="K292" s="333"/>
      <c r="L292" s="333"/>
      <c r="M292" s="333"/>
      <c r="N292" s="333"/>
      <c r="O292" s="333"/>
      <c r="P292" s="333"/>
      <c r="Q292" s="333"/>
      <c r="R292" s="333"/>
      <c r="S292" s="332">
        <f>SUM(C292:R292)</f>
        <v>-15000</v>
      </c>
    </row>
    <row r="293" spans="1:19" ht="22.5" thickTop="1">
      <c r="A293" s="223" t="s">
        <v>100</v>
      </c>
      <c r="B293" s="224">
        <v>5320000</v>
      </c>
      <c r="C293" s="222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77"/>
    </row>
    <row r="294" spans="1:19" ht="21.75">
      <c r="A294" s="227" t="s">
        <v>326</v>
      </c>
      <c r="B294" s="228">
        <v>5320300</v>
      </c>
      <c r="C294" s="229">
        <v>100000</v>
      </c>
      <c r="D294" s="222"/>
      <c r="E294" s="222"/>
      <c r="F294" s="222"/>
      <c r="G294" s="222"/>
      <c r="H294" s="222"/>
      <c r="I294" s="229"/>
      <c r="J294" s="229">
        <f>-100000</f>
        <v>-100000</v>
      </c>
      <c r="K294" s="222"/>
      <c r="L294" s="229"/>
      <c r="M294" s="222"/>
      <c r="N294" s="222"/>
      <c r="O294" s="282"/>
      <c r="P294" s="222"/>
      <c r="Q294" s="222"/>
      <c r="R294" s="222"/>
      <c r="S294" s="281">
        <f>SUM(C294:R294)</f>
        <v>0</v>
      </c>
    </row>
    <row r="295" spans="1:19" ht="21.75">
      <c r="A295" s="227" t="s">
        <v>327</v>
      </c>
      <c r="B295" s="228"/>
      <c r="C295" s="282"/>
      <c r="D295" s="222"/>
      <c r="E295" s="222"/>
      <c r="F295" s="28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83"/>
    </row>
    <row r="296" spans="1:19" ht="24" thickBot="1">
      <c r="A296" s="252" t="s">
        <v>395</v>
      </c>
      <c r="B296" s="284"/>
      <c r="C296" s="285">
        <f>SUM(C294:C295)</f>
        <v>100000</v>
      </c>
      <c r="D296" s="286"/>
      <c r="E296" s="286"/>
      <c r="F296" s="287"/>
      <c r="G296" s="286"/>
      <c r="H296" s="286"/>
      <c r="I296" s="285">
        <f>SUM(I294:I295)</f>
        <v>0</v>
      </c>
      <c r="J296" s="285">
        <f>SUM(J294:J295)</f>
        <v>-100000</v>
      </c>
      <c r="K296" s="286"/>
      <c r="L296" s="285">
        <f>SUM(L294:L295)</f>
        <v>0</v>
      </c>
      <c r="M296" s="286"/>
      <c r="N296" s="286"/>
      <c r="O296" s="288">
        <f>SUM(O294:O295)</f>
        <v>0</v>
      </c>
      <c r="P296" s="286"/>
      <c r="Q296" s="286"/>
      <c r="R296" s="286"/>
      <c r="S296" s="289">
        <f>SUM(C296:R296)</f>
        <v>0</v>
      </c>
    </row>
    <row r="297" ht="22.5" thickTop="1"/>
  </sheetData>
  <sheetProtection/>
  <mergeCells count="108">
    <mergeCell ref="A1:S1"/>
    <mergeCell ref="A2:S2"/>
    <mergeCell ref="C4:D4"/>
    <mergeCell ref="F4:G4"/>
    <mergeCell ref="J4:K4"/>
    <mergeCell ref="L4:M4"/>
    <mergeCell ref="N4:P4"/>
    <mergeCell ref="S4:S9"/>
    <mergeCell ref="C5:D5"/>
    <mergeCell ref="F5:G5"/>
    <mergeCell ref="J5:K5"/>
    <mergeCell ref="L5:M5"/>
    <mergeCell ref="N5:P5"/>
    <mergeCell ref="C37:D37"/>
    <mergeCell ref="F37:G37"/>
    <mergeCell ref="J37:K37"/>
    <mergeCell ref="L37:M37"/>
    <mergeCell ref="N37:P37"/>
    <mergeCell ref="S37:S42"/>
    <mergeCell ref="C38:D38"/>
    <mergeCell ref="F38:G38"/>
    <mergeCell ref="J38:K38"/>
    <mergeCell ref="L38:M38"/>
    <mergeCell ref="N38:P38"/>
    <mergeCell ref="C73:D73"/>
    <mergeCell ref="F73:G73"/>
    <mergeCell ref="J73:K73"/>
    <mergeCell ref="L73:M73"/>
    <mergeCell ref="N73:P73"/>
    <mergeCell ref="S73:S78"/>
    <mergeCell ref="C74:D74"/>
    <mergeCell ref="F74:G74"/>
    <mergeCell ref="J74:K74"/>
    <mergeCell ref="L74:M74"/>
    <mergeCell ref="N74:P74"/>
    <mergeCell ref="C110:D110"/>
    <mergeCell ref="F110:G110"/>
    <mergeCell ref="J110:K110"/>
    <mergeCell ref="L110:M110"/>
    <mergeCell ref="N110:P110"/>
    <mergeCell ref="S110:S115"/>
    <mergeCell ref="C111:D111"/>
    <mergeCell ref="F111:G111"/>
    <mergeCell ref="J111:K111"/>
    <mergeCell ref="L111:M111"/>
    <mergeCell ref="N111:P111"/>
    <mergeCell ref="A138:S138"/>
    <mergeCell ref="A139:S139"/>
    <mergeCell ref="C141:D141"/>
    <mergeCell ref="F141:G141"/>
    <mergeCell ref="J141:K141"/>
    <mergeCell ref="L141:M141"/>
    <mergeCell ref="N141:P141"/>
    <mergeCell ref="S141:S146"/>
    <mergeCell ref="C142:D142"/>
    <mergeCell ref="F142:G142"/>
    <mergeCell ref="J142:K142"/>
    <mergeCell ref="L142:M142"/>
    <mergeCell ref="N142:P142"/>
    <mergeCell ref="C172:D172"/>
    <mergeCell ref="F172:G172"/>
    <mergeCell ref="J172:K172"/>
    <mergeCell ref="L172:M172"/>
    <mergeCell ref="N172:P172"/>
    <mergeCell ref="S172:S177"/>
    <mergeCell ref="C173:D173"/>
    <mergeCell ref="F173:G173"/>
    <mergeCell ref="J173:K173"/>
    <mergeCell ref="L173:M173"/>
    <mergeCell ref="N173:P173"/>
    <mergeCell ref="C206:D206"/>
    <mergeCell ref="F206:G206"/>
    <mergeCell ref="J206:K206"/>
    <mergeCell ref="L206:M206"/>
    <mergeCell ref="N206:P206"/>
    <mergeCell ref="S206:S211"/>
    <mergeCell ref="C207:D207"/>
    <mergeCell ref="F207:G207"/>
    <mergeCell ref="J207:K207"/>
    <mergeCell ref="L207:M207"/>
    <mergeCell ref="N207:P207"/>
    <mergeCell ref="C241:D241"/>
    <mergeCell ref="F241:G241"/>
    <mergeCell ref="J241:K241"/>
    <mergeCell ref="L241:M241"/>
    <mergeCell ref="N241:P241"/>
    <mergeCell ref="S241:S246"/>
    <mergeCell ref="C242:D242"/>
    <mergeCell ref="F242:G242"/>
    <mergeCell ref="J242:K242"/>
    <mergeCell ref="L242:M242"/>
    <mergeCell ref="N242:P242"/>
    <mergeCell ref="A273:R273"/>
    <mergeCell ref="A274:R274"/>
    <mergeCell ref="A275:R275"/>
    <mergeCell ref="A276:R276"/>
    <mergeCell ref="A277:R277"/>
    <mergeCell ref="C279:D279"/>
    <mergeCell ref="F279:G279"/>
    <mergeCell ref="J279:K279"/>
    <mergeCell ref="L279:M279"/>
    <mergeCell ref="N279:P279"/>
    <mergeCell ref="S279:S284"/>
    <mergeCell ref="C280:D280"/>
    <mergeCell ref="F280:G280"/>
    <mergeCell ref="J280:K280"/>
    <mergeCell ref="L280:M280"/>
    <mergeCell ref="N280:P28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LEMEL</cp:lastModifiedBy>
  <cp:lastPrinted>2019-01-08T07:14:24Z</cp:lastPrinted>
  <dcterms:created xsi:type="dcterms:W3CDTF">2004-09-17T07:55:51Z</dcterms:created>
  <dcterms:modified xsi:type="dcterms:W3CDTF">2019-05-07T10:20:43Z</dcterms:modified>
  <cp:category/>
  <cp:version/>
  <cp:contentType/>
  <cp:contentStatus/>
</cp:coreProperties>
</file>